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715" windowHeight="9525"/>
  </bookViews>
  <sheets>
    <sheet name="Tabla Remuneraciones" sheetId="1" r:id="rId1"/>
    <sheet name="Datos" sheetId="2" r:id="rId2"/>
    <sheet name="Impuesto Único" sheetId="3" r:id="rId3"/>
  </sheets>
  <calcPr calcId="144525"/>
</workbook>
</file>

<file path=xl/calcChain.xml><?xml version="1.0" encoding="utf-8"?>
<calcChain xmlns="http://schemas.openxmlformats.org/spreadsheetml/2006/main">
  <c r="AJ11" i="1" l="1"/>
  <c r="AG11" i="1"/>
  <c r="AF11" i="1"/>
  <c r="AH11" i="1" s="1"/>
  <c r="AJ10" i="1"/>
  <c r="AG10" i="1"/>
  <c r="AH10" i="1" s="1"/>
  <c r="AF10" i="1"/>
  <c r="AJ9" i="1"/>
  <c r="AG9" i="1"/>
  <c r="AF9" i="1"/>
  <c r="AH9" i="1" s="1"/>
  <c r="AK9" i="1" s="1"/>
  <c r="AL9" i="1" s="1"/>
  <c r="AJ8" i="1"/>
  <c r="AG8" i="1"/>
  <c r="AF8" i="1"/>
  <c r="AJ7" i="1"/>
  <c r="AG7" i="1"/>
  <c r="AF7" i="1"/>
  <c r="AH7" i="1" s="1"/>
  <c r="AK7" i="1" s="1"/>
  <c r="AL7" i="1" s="1"/>
  <c r="Z11" i="1"/>
  <c r="Y11" i="1"/>
  <c r="Z10" i="1"/>
  <c r="Y10" i="1"/>
  <c r="Z9" i="1"/>
  <c r="Y9" i="1"/>
  <c r="Z8" i="1"/>
  <c r="Y8" i="1"/>
  <c r="Z7" i="1"/>
  <c r="Y7" i="1"/>
  <c r="V7" i="1"/>
  <c r="V8" i="1"/>
  <c r="V9" i="1"/>
  <c r="V10" i="1"/>
  <c r="V11" i="1"/>
  <c r="O7" i="1"/>
  <c r="O8" i="1"/>
  <c r="O9" i="1"/>
  <c r="O10" i="1"/>
  <c r="O11" i="1"/>
  <c r="J7" i="1"/>
  <c r="K7" i="1"/>
  <c r="J8" i="1"/>
  <c r="K8" i="1"/>
  <c r="J9" i="1"/>
  <c r="K9" i="1"/>
  <c r="J10" i="1"/>
  <c r="K10" i="1"/>
  <c r="J11" i="1"/>
  <c r="K11" i="1"/>
  <c r="AK11" i="1" l="1"/>
  <c r="AL11" i="1" s="1"/>
  <c r="AH8" i="1"/>
  <c r="AK8" i="1" s="1"/>
  <c r="AL8" i="1" s="1"/>
  <c r="AK10" i="1"/>
  <c r="AL10" i="1" s="1"/>
  <c r="B3" i="2" l="1"/>
  <c r="B4" i="2"/>
  <c r="B6" i="2"/>
  <c r="AF6" i="1"/>
  <c r="J6" i="1"/>
  <c r="J5" i="1"/>
  <c r="J4" i="1"/>
  <c r="AF3" i="1"/>
  <c r="J3" i="1"/>
  <c r="AF2" i="1"/>
  <c r="J2" i="1"/>
  <c r="K3" i="1" l="1"/>
  <c r="O3" i="1" s="1"/>
  <c r="V3" i="1" s="1"/>
  <c r="K4" i="1"/>
  <c r="O4" i="1" s="1"/>
  <c r="K5" i="1"/>
  <c r="K6" i="1"/>
  <c r="O6" i="1" s="1"/>
  <c r="K2" i="1"/>
  <c r="O5" i="1"/>
  <c r="O2" i="1"/>
  <c r="V2" i="1" s="1"/>
  <c r="AG2" i="1" l="1"/>
  <c r="AH2" i="1" s="1"/>
  <c r="Z3" i="1"/>
  <c r="Y2" i="1"/>
  <c r="Z2" i="1"/>
  <c r="AJ3" i="1"/>
  <c r="AJ2" i="1"/>
  <c r="AG3" i="1"/>
  <c r="AH3" i="1" s="1"/>
  <c r="Y3" i="1"/>
  <c r="AG5" i="1"/>
  <c r="V5" i="1"/>
  <c r="AF5" i="1"/>
  <c r="AJ5" i="1"/>
  <c r="Z5" i="1"/>
  <c r="Y5" i="1"/>
  <c r="AG6" i="1"/>
  <c r="AH6" i="1" s="1"/>
  <c r="V6" i="1"/>
  <c r="Y6" i="1"/>
  <c r="AJ6" i="1"/>
  <c r="Z6" i="1"/>
  <c r="AG4" i="1"/>
  <c r="V4" i="1"/>
  <c r="AF4" i="1"/>
  <c r="Y4" i="1"/>
  <c r="AJ4" i="1"/>
  <c r="Z4" i="1"/>
  <c r="AK2" i="1" l="1"/>
  <c r="AL2" i="1" s="1"/>
  <c r="AH4" i="1"/>
  <c r="AK4" i="1" s="1"/>
  <c r="AL4" i="1" s="1"/>
  <c r="AK3" i="1"/>
  <c r="AL3" i="1" s="1"/>
  <c r="AH5" i="1"/>
  <c r="AK5" i="1" s="1"/>
  <c r="AL5" i="1" s="1"/>
  <c r="AK6" i="1"/>
  <c r="AL6" i="1" s="1"/>
</calcChain>
</file>

<file path=xl/sharedStrings.xml><?xml version="1.0" encoding="utf-8"?>
<sst xmlns="http://schemas.openxmlformats.org/spreadsheetml/2006/main" count="134" uniqueCount="73">
  <si>
    <t>Nombre</t>
  </si>
  <si>
    <t>Departamento</t>
  </si>
  <si>
    <t>Cargo</t>
  </si>
  <si>
    <t>Año</t>
  </si>
  <si>
    <t>Mes</t>
  </si>
  <si>
    <t>Valor UF</t>
  </si>
  <si>
    <t>Valor UTM</t>
  </si>
  <si>
    <t>Sueldo Base</t>
  </si>
  <si>
    <t>Días Trabajados</t>
  </si>
  <si>
    <t>Sueldo Base / Días Trabajados</t>
  </si>
  <si>
    <t>Gratificación</t>
  </si>
  <si>
    <t>Comisiones</t>
  </si>
  <si>
    <t>Competencias Comerciales</t>
  </si>
  <si>
    <t>Bono</t>
  </si>
  <si>
    <t>Imponible</t>
  </si>
  <si>
    <t>Colación</t>
  </si>
  <si>
    <t>Movilización</t>
  </si>
  <si>
    <t>Desgaste Material</t>
  </si>
  <si>
    <t>Asignación Familiar</t>
  </si>
  <si>
    <t>Accidente</t>
  </si>
  <si>
    <t>Otros</t>
  </si>
  <si>
    <t>Total Haberes</t>
  </si>
  <si>
    <t>AFP</t>
  </si>
  <si>
    <t>%</t>
  </si>
  <si>
    <t>Descuento AFP en $</t>
  </si>
  <si>
    <t>SIS 1,26</t>
  </si>
  <si>
    <t>APV AFP</t>
  </si>
  <si>
    <t>APV Otras Instituciones</t>
  </si>
  <si>
    <t>ISAPRE / FONASA</t>
  </si>
  <si>
    <t xml:space="preserve">% </t>
  </si>
  <si>
    <t>Plan Pactado UF.</t>
  </si>
  <si>
    <t>Costo Plan Salud</t>
  </si>
  <si>
    <t>Descuento Salud en $</t>
  </si>
  <si>
    <t>Adicional Isapre</t>
  </si>
  <si>
    <t>Seguro de Cesantía</t>
  </si>
  <si>
    <t>Descuento Seg. Ces. en $</t>
  </si>
  <si>
    <t>Total Descuentos Legales</t>
  </si>
  <si>
    <t>Tributable</t>
  </si>
  <si>
    <t>Impuesto Único</t>
  </si>
  <si>
    <t>Mayo</t>
  </si>
  <si>
    <t>Cuprum</t>
  </si>
  <si>
    <t>Cruz Blanca</t>
  </si>
  <si>
    <t>Modelo</t>
  </si>
  <si>
    <t>Vida Tres</t>
  </si>
  <si>
    <t>Comercial</t>
  </si>
  <si>
    <t>Fonasa</t>
  </si>
  <si>
    <t>Capital</t>
  </si>
  <si>
    <t>Monto</t>
  </si>
  <si>
    <t>Dividido en 12</t>
  </si>
  <si>
    <t>UTM</t>
  </si>
  <si>
    <t>Máximo aporte mensual Seguro Ces.</t>
  </si>
  <si>
    <t>Multiplo 4,6</t>
  </si>
  <si>
    <t>UF</t>
  </si>
  <si>
    <t>Maximo aporte APV (UF)</t>
  </si>
  <si>
    <t>Sueldo mínimo</t>
  </si>
  <si>
    <t>Maximo aporte mensual AFP (UF)</t>
  </si>
  <si>
    <t>Gratificación Legal</t>
  </si>
  <si>
    <t xml:space="preserve">Desde </t>
  </si>
  <si>
    <t>Hasta</t>
  </si>
  <si>
    <t>Factor</t>
  </si>
  <si>
    <t>Cantidad a rebajar</t>
  </si>
  <si>
    <t>Y MAS</t>
  </si>
  <si>
    <t>Trabajador 1</t>
  </si>
  <si>
    <t>Trabajador 2</t>
  </si>
  <si>
    <t>Trabajador 3</t>
  </si>
  <si>
    <t>Trabajador 4</t>
  </si>
  <si>
    <t>Trabajador 5</t>
  </si>
  <si>
    <t>Ejecutivo 1</t>
  </si>
  <si>
    <t>Ejecutivo 2</t>
  </si>
  <si>
    <t>Ejecutivo 3</t>
  </si>
  <si>
    <t>Ejecutivo 4</t>
  </si>
  <si>
    <t>Ejecutivo 5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</si>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</sst>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\ #,##0.00;[Red]\-&quot;$&quot;\ #,##0.00"/>
    <numFmt numFmtId="43" formatCode="_-* #,##0.00_-;\-* #,##0.00_-;_-* &quot;-&quot;??_-;_-@_-"/>
    <numFmt numFmtId="164" formatCode="0.0%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10" fontId="0" fillId="0" borderId="0" xfId="2" applyNumberFormat="1" applyFont="1" applyAlignment="1">
      <alignment horizontal="center" vertical="center" wrapText="1"/>
    </xf>
    <xf numFmtId="164" fontId="0" fillId="0" borderId="0" xfId="2" applyNumberFormat="1" applyFont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" fontId="0" fillId="0" borderId="0" xfId="0" applyNumberFormat="1"/>
    <xf numFmtId="3" fontId="0" fillId="0" borderId="0" xfId="0" applyNumberFormat="1"/>
    <xf numFmtId="10" fontId="0" fillId="0" borderId="0" xfId="2" applyNumberFormat="1" applyFont="1"/>
    <xf numFmtId="9" fontId="0" fillId="0" borderId="0" xfId="0" applyNumberFormat="1"/>
    <xf numFmtId="164" fontId="0" fillId="0" borderId="0" xfId="2" applyNumberFormat="1" applyFont="1"/>
    <xf numFmtId="3" fontId="0" fillId="2" borderId="0" xfId="0" applyNumberFormat="1" applyFill="1"/>
    <xf numFmtId="165" fontId="0" fillId="0" borderId="0" xfId="1" applyNumberFormat="1" applyFont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 wrapText="1"/>
    </xf>
    <xf numFmtId="3" fontId="0" fillId="0" borderId="0" xfId="0" applyNumberFormat="1" applyFill="1"/>
    <xf numFmtId="0" fontId="0" fillId="0" borderId="0" xfId="0" applyFill="1"/>
    <xf numFmtId="0" fontId="0" fillId="3" borderId="0" xfId="0" applyFill="1" applyAlignment="1">
      <alignment horizontal="center" vertical="center" wrapText="1"/>
    </xf>
    <xf numFmtId="0" fontId="0" fillId="3" borderId="0" xfId="0" applyFill="1"/>
    <xf numFmtId="3" fontId="0" fillId="0" borderId="0" xfId="0" applyNumberForma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/>
    <xf numFmtId="0" fontId="0" fillId="5" borderId="0" xfId="0" applyFill="1" applyAlignment="1">
      <alignment horizontal="center" vertical="center" wrapText="1"/>
    </xf>
    <xf numFmtId="0" fontId="0" fillId="5" borderId="0" xfId="0" applyFill="1"/>
    <xf numFmtId="4" fontId="0" fillId="6" borderId="0" xfId="0" applyNumberFormat="1" applyFill="1"/>
    <xf numFmtId="0" fontId="0" fillId="6" borderId="0" xfId="0" applyFill="1"/>
    <xf numFmtId="0" fontId="0" fillId="7" borderId="0" xfId="0" applyFill="1"/>
    <xf numFmtId="4" fontId="0" fillId="7" borderId="0" xfId="0" applyNumberFormat="1" applyFill="1"/>
    <xf numFmtId="8" fontId="0" fillId="7" borderId="0" xfId="0" applyNumberFormat="1" applyFill="1"/>
    <xf numFmtId="0" fontId="0" fillId="8" borderId="0" xfId="0" applyFill="1"/>
    <xf numFmtId="8" fontId="0" fillId="8" borderId="0" xfId="0" applyNumberFormat="1" applyFill="1"/>
    <xf numFmtId="4" fontId="0" fillId="8" borderId="0" xfId="0" applyNumberFormat="1" applyFill="1"/>
    <xf numFmtId="0" fontId="2" fillId="8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24" sqref="H24"/>
    </sheetView>
  </sheetViews>
  <sheetFormatPr baseColWidth="10" defaultRowHeight="15" x14ac:dyDescent="0.25"/>
  <cols>
    <col min="1" max="1" width="23" customWidth="1"/>
    <col min="2" max="2" width="15.28515625" bestFit="1" customWidth="1"/>
    <col min="3" max="3" width="22.42578125" bestFit="1" customWidth="1"/>
    <col min="4" max="4" width="6.5703125" style="23" customWidth="1"/>
    <col min="5" max="5" width="6.5703125" style="25" customWidth="1"/>
    <col min="6" max="6" width="9.85546875" style="7" bestFit="1" customWidth="1"/>
    <col min="7" max="7" width="9.85546875" style="7" customWidth="1"/>
    <col min="8" max="8" width="13.42578125" style="8" bestFit="1" customWidth="1"/>
    <col min="9" max="9" width="13.140625" style="8" customWidth="1"/>
    <col min="10" max="10" width="18.140625" style="8" customWidth="1"/>
    <col min="11" max="11" width="13.5703125" style="8" customWidth="1"/>
    <col min="12" max="12" width="12.7109375" style="8" bestFit="1" customWidth="1"/>
    <col min="13" max="13" width="17.85546875" style="8" customWidth="1"/>
    <col min="14" max="14" width="11.42578125" style="8"/>
    <col min="15" max="15" width="11.42578125" style="17"/>
    <col min="16" max="16" width="11.42578125" style="8"/>
    <col min="17" max="17" width="13.42578125" style="8" customWidth="1"/>
    <col min="18" max="18" width="11.42578125" style="8"/>
    <col min="19" max="19" width="13.28515625" customWidth="1"/>
    <col min="22" max="22" width="11.42578125" style="18"/>
    <col min="24" max="24" width="11.42578125" style="9"/>
    <col min="25" max="26" width="11.42578125" style="8"/>
    <col min="28" max="28" width="15.140625" customWidth="1"/>
    <col min="29" max="29" width="12.28515625" bestFit="1" customWidth="1"/>
    <col min="31" max="31" width="15.28515625" customWidth="1"/>
    <col min="32" max="33" width="11.42578125" style="8"/>
    <col min="34" max="34" width="15" bestFit="1" customWidth="1"/>
    <col min="35" max="35" width="11.42578125" style="11"/>
    <col min="37" max="37" width="13.28515625" style="18" customWidth="1"/>
    <col min="38" max="38" width="13.28515625" style="14" customWidth="1"/>
    <col min="39" max="39" width="11.42578125" style="20"/>
  </cols>
  <sheetData>
    <row r="1" spans="1:39" s="1" customFormat="1" ht="45" x14ac:dyDescent="0.25">
      <c r="A1" s="1" t="s">
        <v>0</v>
      </c>
      <c r="B1" s="1" t="s">
        <v>1</v>
      </c>
      <c r="C1" s="1" t="s">
        <v>2</v>
      </c>
      <c r="D1" s="22" t="s">
        <v>3</v>
      </c>
      <c r="E1" s="24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1" t="s">
        <v>14</v>
      </c>
      <c r="P1" s="3" t="s">
        <v>15</v>
      </c>
      <c r="Q1" s="3" t="s">
        <v>16</v>
      </c>
      <c r="R1" s="3" t="s">
        <v>17</v>
      </c>
      <c r="S1" s="1" t="s">
        <v>18</v>
      </c>
      <c r="T1" s="1" t="s">
        <v>19</v>
      </c>
      <c r="U1" s="1" t="s">
        <v>20</v>
      </c>
      <c r="V1" s="16" t="s">
        <v>21</v>
      </c>
      <c r="W1" s="1" t="s">
        <v>22</v>
      </c>
      <c r="X1" s="4" t="s">
        <v>23</v>
      </c>
      <c r="Y1" s="3" t="s">
        <v>24</v>
      </c>
      <c r="Z1" s="3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3" t="s">
        <v>31</v>
      </c>
      <c r="AG1" s="3" t="s">
        <v>32</v>
      </c>
      <c r="AH1" s="1" t="s">
        <v>33</v>
      </c>
      <c r="AI1" s="5" t="s">
        <v>34</v>
      </c>
      <c r="AJ1" s="1" t="s">
        <v>35</v>
      </c>
      <c r="AK1" s="16" t="s">
        <v>36</v>
      </c>
      <c r="AL1" s="6" t="s">
        <v>37</v>
      </c>
      <c r="AM1" s="19" t="s">
        <v>38</v>
      </c>
    </row>
    <row r="2" spans="1:39" x14ac:dyDescent="0.25">
      <c r="A2" t="s">
        <v>62</v>
      </c>
      <c r="B2" t="s">
        <v>44</v>
      </c>
      <c r="C2" t="s">
        <v>67</v>
      </c>
      <c r="D2" s="23">
        <v>2014</v>
      </c>
      <c r="E2" s="25" t="s">
        <v>39</v>
      </c>
      <c r="F2" s="7">
        <v>23927.08</v>
      </c>
      <c r="G2" s="8">
        <v>41801</v>
      </c>
      <c r="H2" s="8">
        <v>530000</v>
      </c>
      <c r="I2" s="8">
        <v>30</v>
      </c>
      <c r="J2" s="8">
        <f>+H2/30*I2</f>
        <v>530000</v>
      </c>
      <c r="K2" s="8">
        <f>+IF(OR(A2="Mario Ortiz",A2="Herbert Schulz"),0,IF(J2&gt;Datos!$B$6,((Datos!$B$4/30)*'Tabla Remuneraciones'!I2),'Tabla Remuneraciones'!J2*0.25))</f>
        <v>83125</v>
      </c>
      <c r="O2" s="17">
        <f>SUM(J2:N2)</f>
        <v>613125</v>
      </c>
      <c r="P2" s="8">
        <v>80000</v>
      </c>
      <c r="Q2" s="8">
        <v>80000</v>
      </c>
      <c r="R2" s="8">
        <v>44632</v>
      </c>
      <c r="V2" s="17">
        <f>SUM(O2:S2)</f>
        <v>817757</v>
      </c>
      <c r="W2" t="s">
        <v>40</v>
      </c>
      <c r="X2" s="9">
        <v>0.1148</v>
      </c>
      <c r="Y2" s="8">
        <f>+IF(O2&gt;(F2*Datos!$H$1),((F2*Datos!$H$1)*X2),O2*X2)</f>
        <v>70386.75</v>
      </c>
      <c r="Z2" s="8">
        <f>+IF(O2&gt;(F2*Datos!$H$1),1.26%*(F2*Datos!$H$1),O2*1.26%)</f>
        <v>7725.375</v>
      </c>
      <c r="AC2" t="s">
        <v>41</v>
      </c>
      <c r="AD2" s="10">
        <v>7.0000000000000007E-2</v>
      </c>
      <c r="AE2">
        <v>1.44</v>
      </c>
      <c r="AF2" s="8">
        <f t="shared" ref="AF2:AF11" si="0">+IF(AC2="fonasa",AD2*O2,AE2*F2)</f>
        <v>34454.995200000005</v>
      </c>
      <c r="AG2" s="8">
        <f>+IF(O2&gt;(F2*Datos!$H$1),(F2*Datos!$H$1)*AD2,O2*AD2)</f>
        <v>42918.750000000007</v>
      </c>
      <c r="AH2" s="8">
        <f>+IF(AF2-AG2&lt;0,0,AF2-AG2)</f>
        <v>0</v>
      </c>
      <c r="AI2" s="11">
        <v>0</v>
      </c>
      <c r="AJ2">
        <f>+IF(O2&gt;(G2*Datos!$H$3),(G2*Datos!$H$3)*AI2,O2*AI2)</f>
        <v>0</v>
      </c>
      <c r="AK2" s="17">
        <f>+Y2+Z2+AA2+AB2+AG2+AH2+AJ2</f>
        <v>121030.875</v>
      </c>
      <c r="AL2" s="12">
        <f>+O2-AK2+Z2</f>
        <v>499819.5</v>
      </c>
    </row>
    <row r="3" spans="1:39" x14ac:dyDescent="0.25">
      <c r="A3" t="s">
        <v>63</v>
      </c>
      <c r="B3" t="s">
        <v>44</v>
      </c>
      <c r="C3" t="s">
        <v>68</v>
      </c>
      <c r="D3" s="23">
        <v>2014</v>
      </c>
      <c r="E3" s="25" t="s">
        <v>39</v>
      </c>
      <c r="F3" s="7">
        <v>23927.08</v>
      </c>
      <c r="G3" s="8">
        <v>41801</v>
      </c>
      <c r="H3" s="8">
        <v>830000</v>
      </c>
      <c r="I3" s="8">
        <v>30</v>
      </c>
      <c r="J3" s="8">
        <f t="shared" ref="J3:J6" si="1">+H3/30*I3</f>
        <v>830000</v>
      </c>
      <c r="K3" s="8">
        <f>+IF(OR(A3="Mario Ortiz",A3="Herbert Schulz"),0,IF(J3&gt;Datos!$B$6,((Datos!$B$4/30)*'Tabla Remuneraciones'!I3),'Tabla Remuneraciones'!J3*0.25))</f>
        <v>83125</v>
      </c>
      <c r="O3" s="17">
        <f t="shared" ref="O3:O11" si="2">SUM(J3:N3)</f>
        <v>913125</v>
      </c>
      <c r="P3" s="8">
        <v>80000</v>
      </c>
      <c r="Q3" s="8">
        <v>80000</v>
      </c>
      <c r="R3" s="8">
        <v>19547</v>
      </c>
      <c r="V3" s="17">
        <f t="shared" ref="V3:V11" si="3">SUM(O3:S3)</f>
        <v>1092672</v>
      </c>
      <c r="W3" t="s">
        <v>42</v>
      </c>
      <c r="X3" s="9">
        <v>0.1077</v>
      </c>
      <c r="Y3" s="8">
        <f>+IF(O3&gt;(F3*Datos!$H$1),((F3*Datos!$H$1)*X3),O3*X3)</f>
        <v>98343.5625</v>
      </c>
      <c r="Z3" s="8">
        <f>+IF(O3&gt;(F3*Datos!$H$1),1.26%*(F3*Datos!$H$1),O3*1.26%)</f>
        <v>11505.375</v>
      </c>
      <c r="AC3" t="s">
        <v>43</v>
      </c>
      <c r="AD3" s="10">
        <v>7.0000000000000007E-2</v>
      </c>
      <c r="AE3">
        <v>2.44</v>
      </c>
      <c r="AF3" s="8">
        <f t="shared" si="0"/>
        <v>58382.075200000007</v>
      </c>
      <c r="AG3" s="8">
        <f>+IF(O3&gt;(F3*Datos!$H$1),(F3*Datos!$H$1)*AD3,O3*AD3)</f>
        <v>63918.750000000007</v>
      </c>
      <c r="AH3" s="8">
        <f t="shared" ref="AH3:AH6" si="4">+IF(AF3-AG3&lt;0,0,AF3-AG3)</f>
        <v>0</v>
      </c>
      <c r="AI3" s="11">
        <v>0</v>
      </c>
      <c r="AJ3">
        <f>+IF(O3&gt;(G3*Datos!$H$3),(G3*Datos!$H$3)*AI3,O3*AI3)</f>
        <v>0</v>
      </c>
      <c r="AK3" s="17">
        <f t="shared" ref="AK3:AK6" si="5">+Y3+Z3+AA3+AB3+AG3+AH3+AJ3</f>
        <v>173767.6875</v>
      </c>
      <c r="AL3" s="12">
        <f t="shared" ref="AL3:AL6" si="6">+O3-AK3+Z3</f>
        <v>750862.6875</v>
      </c>
    </row>
    <row r="4" spans="1:39" x14ac:dyDescent="0.25">
      <c r="A4" t="s">
        <v>64</v>
      </c>
      <c r="B4" t="s">
        <v>44</v>
      </c>
      <c r="C4" t="s">
        <v>69</v>
      </c>
      <c r="D4" s="23">
        <v>2014</v>
      </c>
      <c r="E4" s="25" t="s">
        <v>39</v>
      </c>
      <c r="F4" s="7">
        <v>23927.08</v>
      </c>
      <c r="G4" s="8">
        <v>41801</v>
      </c>
      <c r="H4" s="8">
        <v>1850000</v>
      </c>
      <c r="I4" s="8">
        <v>30</v>
      </c>
      <c r="J4" s="8">
        <f t="shared" si="1"/>
        <v>1850000</v>
      </c>
      <c r="K4" s="8">
        <f>+IF(OR(A4="Mario Ortiz",A4="Herbert Schulz"),0,IF(J4&gt;Datos!$B$6,((Datos!$B$4/30)*'Tabla Remuneraciones'!I4),'Tabla Remuneraciones'!J4*0.25))</f>
        <v>83125</v>
      </c>
      <c r="O4" s="17">
        <f t="shared" si="2"/>
        <v>1933125</v>
      </c>
      <c r="P4" s="8">
        <v>47000</v>
      </c>
      <c r="Q4" s="8">
        <v>47000</v>
      </c>
      <c r="V4" s="17">
        <f t="shared" si="3"/>
        <v>2027125</v>
      </c>
      <c r="W4" t="s">
        <v>42</v>
      </c>
      <c r="X4" s="9">
        <v>0.1077</v>
      </c>
      <c r="Y4" s="8">
        <f>+IF(O4&gt;(F4*Datos!$H$1),((F4*Datos!$H$1)*X4),O4*X4)</f>
        <v>186313.23310680001</v>
      </c>
      <c r="Z4" s="8">
        <f>+IF(O4&gt;(F4*Datos!$H$1),1.26%*(F4*Datos!$H$1),O4*1.26%)</f>
        <v>21797.091338400001</v>
      </c>
      <c r="AC4" t="s">
        <v>45</v>
      </c>
      <c r="AD4" s="10">
        <v>7.0000000000000007E-2</v>
      </c>
      <c r="AF4" s="8">
        <f t="shared" si="0"/>
        <v>135318.75</v>
      </c>
      <c r="AG4" s="8">
        <f>+IF(O4&gt;(F4*Datos!$H$1),(F4*Datos!$H$1)*AD4,O4*AD4)</f>
        <v>121094.95188000002</v>
      </c>
      <c r="AH4" s="8">
        <f t="shared" si="4"/>
        <v>14223.798119999978</v>
      </c>
      <c r="AI4" s="11">
        <v>0</v>
      </c>
      <c r="AJ4">
        <f>+IF(O4&gt;(G4*Datos!$H$3),(G4*Datos!$H$3)*AI4,O4*AI4)</f>
        <v>0</v>
      </c>
      <c r="AK4" s="17">
        <f t="shared" si="5"/>
        <v>343429.07444520004</v>
      </c>
      <c r="AL4" s="12">
        <f t="shared" si="6"/>
        <v>1611493.0168931999</v>
      </c>
    </row>
    <row r="5" spans="1:39" x14ac:dyDescent="0.25">
      <c r="A5" t="s">
        <v>65</v>
      </c>
      <c r="B5" t="s">
        <v>44</v>
      </c>
      <c r="C5" t="s">
        <v>70</v>
      </c>
      <c r="D5" s="23">
        <v>2014</v>
      </c>
      <c r="E5" s="25" t="s">
        <v>39</v>
      </c>
      <c r="F5" s="7">
        <v>23927.08</v>
      </c>
      <c r="G5" s="8">
        <v>41801</v>
      </c>
      <c r="H5" s="8">
        <v>498225</v>
      </c>
      <c r="I5" s="8">
        <v>30</v>
      </c>
      <c r="J5" s="8">
        <f t="shared" si="1"/>
        <v>498225</v>
      </c>
      <c r="K5" s="8">
        <f>+IF(OR(A5="Mario Ortiz",A5="Herbert Schulz"),0,IF(J5&gt;Datos!$B$6,((Datos!$B$4/30)*'Tabla Remuneraciones'!I5),'Tabla Remuneraciones'!J5*0.25))</f>
        <v>83125</v>
      </c>
      <c r="O5" s="17">
        <f t="shared" si="2"/>
        <v>581350</v>
      </c>
      <c r="P5" s="8">
        <v>47000</v>
      </c>
      <c r="Q5" s="8">
        <v>47000</v>
      </c>
      <c r="V5" s="17">
        <f t="shared" si="3"/>
        <v>675350</v>
      </c>
      <c r="W5" t="s">
        <v>42</v>
      </c>
      <c r="X5" s="9">
        <v>0.1077</v>
      </c>
      <c r="Y5" s="8">
        <f>+IF(O5&gt;(F5*Datos!$H$1),((F5*Datos!$H$1)*X5),O5*X5)</f>
        <v>62611.395000000004</v>
      </c>
      <c r="Z5" s="8">
        <f>+IF(O5&gt;(F5*Datos!$H$1),1.26%*(F5*Datos!$H$1),O5*1.26%)</f>
        <v>7325.01</v>
      </c>
      <c r="AC5" t="s">
        <v>45</v>
      </c>
      <c r="AD5" s="10">
        <v>7.0000000000000007E-2</v>
      </c>
      <c r="AF5" s="8">
        <f t="shared" si="0"/>
        <v>40694.500000000007</v>
      </c>
      <c r="AG5" s="8">
        <f>+IF(O5&gt;(F5*Datos!$H$1),(F5*Datos!$H$1)*AD5,O5*AD5)</f>
        <v>40694.500000000007</v>
      </c>
      <c r="AH5" s="8">
        <f t="shared" si="4"/>
        <v>0</v>
      </c>
      <c r="AI5" s="11">
        <v>0</v>
      </c>
      <c r="AJ5">
        <f>+IF(O5&gt;(G5*Datos!$H$3),(G5*Datos!$H$3)*AI5,O5*AI5)</f>
        <v>0</v>
      </c>
      <c r="AK5" s="17">
        <f t="shared" si="5"/>
        <v>110630.905</v>
      </c>
      <c r="AL5" s="12">
        <f t="shared" si="6"/>
        <v>478044.10499999998</v>
      </c>
    </row>
    <row r="6" spans="1:39" x14ac:dyDescent="0.25">
      <c r="A6" t="s">
        <v>66</v>
      </c>
      <c r="B6" t="s">
        <v>44</v>
      </c>
      <c r="C6" t="s">
        <v>71</v>
      </c>
      <c r="D6" s="23">
        <v>2014</v>
      </c>
      <c r="E6" s="25" t="s">
        <v>39</v>
      </c>
      <c r="F6" s="7">
        <v>23927.08</v>
      </c>
      <c r="G6" s="8">
        <v>41801</v>
      </c>
      <c r="H6" s="8">
        <v>940000</v>
      </c>
      <c r="I6" s="8">
        <v>30</v>
      </c>
      <c r="J6" s="8">
        <f t="shared" si="1"/>
        <v>940000</v>
      </c>
      <c r="K6" s="8">
        <f>+IF(OR(A6="Mario Ortiz",A6="Herbert Schulz"),0,IF(J6&gt;Datos!$B$6,((Datos!$B$4/30)*'Tabla Remuneraciones'!I6),'Tabla Remuneraciones'!J6*0.25))</f>
        <v>83125</v>
      </c>
      <c r="O6" s="17">
        <f t="shared" si="2"/>
        <v>1023125</v>
      </c>
      <c r="P6" s="8">
        <v>47000</v>
      </c>
      <c r="Q6" s="8">
        <v>47000</v>
      </c>
      <c r="V6" s="17">
        <f t="shared" si="3"/>
        <v>1117125</v>
      </c>
      <c r="W6" t="s">
        <v>46</v>
      </c>
      <c r="X6" s="9">
        <v>0.1144</v>
      </c>
      <c r="Y6" s="8">
        <f>+IF(O6&gt;(F6*Datos!$H$1),((F6*Datos!$H$1)*X6),O6*X6)</f>
        <v>117045.5</v>
      </c>
      <c r="Z6" s="8">
        <f>+IF(O6&gt;(F6*Datos!$H$1),1.26%*(F6*Datos!$H$1),O6*1.26%)</f>
        <v>12891.375</v>
      </c>
      <c r="AC6" t="s">
        <v>43</v>
      </c>
      <c r="AD6" s="10">
        <v>7.0000000000000007E-2</v>
      </c>
      <c r="AE6">
        <v>3.06</v>
      </c>
      <c r="AF6" s="8">
        <f t="shared" si="0"/>
        <v>73216.86480000001</v>
      </c>
      <c r="AG6" s="8">
        <f>+IF(O6&gt;(F6*Datos!$H$1),(F6*Datos!$H$1)*AD6,O6*AD6)</f>
        <v>71618.75</v>
      </c>
      <c r="AH6" s="8">
        <f t="shared" si="4"/>
        <v>1598.1148000000103</v>
      </c>
      <c r="AI6" s="11">
        <v>0</v>
      </c>
      <c r="AJ6">
        <f>+IF(O6&gt;(G6*Datos!$H$3),(G6*Datos!$H$3)*AI6,O6*AI6)</f>
        <v>0</v>
      </c>
      <c r="AK6" s="17">
        <f t="shared" si="5"/>
        <v>203153.73980000001</v>
      </c>
      <c r="AL6" s="12">
        <f t="shared" si="6"/>
        <v>832862.63520000002</v>
      </c>
    </row>
    <row r="7" spans="1:39" x14ac:dyDescent="0.25">
      <c r="A7" t="s">
        <v>62</v>
      </c>
      <c r="B7" t="s">
        <v>44</v>
      </c>
      <c r="C7" t="s">
        <v>67</v>
      </c>
      <c r="D7" s="23">
        <v>2014</v>
      </c>
      <c r="E7" s="25" t="s">
        <v>72</v>
      </c>
      <c r="F7" s="7">
        <v>24016.42</v>
      </c>
      <c r="G7" s="8">
        <v>42052</v>
      </c>
      <c r="H7" s="8">
        <v>530000</v>
      </c>
      <c r="I7" s="8">
        <v>30</v>
      </c>
      <c r="J7" s="8">
        <f t="shared" ref="J7:J11" si="7">+H7/30*I7</f>
        <v>530000</v>
      </c>
      <c r="K7" s="8">
        <f>+IF(OR(A7="Mario Ortiz",A7="Herbert Schulz"),0,IF(J7&gt;Datos!$B$6,((Datos!$B$4/30)*'Tabla Remuneraciones'!I7),'Tabla Remuneraciones'!J7*0.25))</f>
        <v>83125</v>
      </c>
      <c r="O7" s="17">
        <f t="shared" si="2"/>
        <v>613125</v>
      </c>
      <c r="P7" s="8">
        <v>80000</v>
      </c>
      <c r="Q7" s="8">
        <v>80000</v>
      </c>
      <c r="R7" s="8">
        <v>44632</v>
      </c>
      <c r="V7" s="17">
        <f t="shared" si="3"/>
        <v>817757</v>
      </c>
      <c r="W7" t="s">
        <v>40</v>
      </c>
      <c r="X7" s="9">
        <v>0.1148</v>
      </c>
      <c r="Y7" s="8">
        <f>+IF(O7&gt;(F7*Datos!$H$1),((F7*Datos!$H$1)*X7),O7*X7)</f>
        <v>70386.75</v>
      </c>
      <c r="Z7" s="8">
        <f>+IF(O7&gt;(F7*Datos!$H$1),1.26%*(F7*Datos!$H$1),O7*1.26%)</f>
        <v>7725.375</v>
      </c>
      <c r="AC7" t="s">
        <v>41</v>
      </c>
      <c r="AD7" s="10">
        <v>7.0000000000000007E-2</v>
      </c>
      <c r="AE7">
        <v>1.44</v>
      </c>
      <c r="AF7" s="8">
        <f t="shared" si="0"/>
        <v>34583.644799999995</v>
      </c>
      <c r="AG7" s="8">
        <f>+IF(O7&gt;(F7*Datos!$H$1),(F7*Datos!$H$1)*AD7,O7*AD7)</f>
        <v>42918.750000000007</v>
      </c>
      <c r="AH7" s="8">
        <f>+IF(AF7-AG7&lt;0,0,AF7-AG7)</f>
        <v>0</v>
      </c>
      <c r="AI7" s="11">
        <v>0</v>
      </c>
      <c r="AJ7">
        <f>+IF(O7&gt;(G7*Datos!$H$3),(G7*Datos!$H$3)*AI7,O7*AI7)</f>
        <v>0</v>
      </c>
      <c r="AK7" s="17">
        <f>+Y7+Z7+AA7+AB7+AG7+AH7+AJ7</f>
        <v>121030.875</v>
      </c>
      <c r="AL7" s="12">
        <f>+O7-AK7+Z7</f>
        <v>499819.5</v>
      </c>
    </row>
    <row r="8" spans="1:39" x14ac:dyDescent="0.25">
      <c r="A8" t="s">
        <v>63</v>
      </c>
      <c r="B8" t="s">
        <v>44</v>
      </c>
      <c r="C8" t="s">
        <v>68</v>
      </c>
      <c r="D8" s="23">
        <v>2014</v>
      </c>
      <c r="E8" s="25" t="s">
        <v>72</v>
      </c>
      <c r="F8" s="7">
        <v>24016.42</v>
      </c>
      <c r="G8" s="8">
        <v>42052</v>
      </c>
      <c r="H8" s="8">
        <v>830000</v>
      </c>
      <c r="I8" s="8">
        <v>30</v>
      </c>
      <c r="J8" s="8">
        <f t="shared" si="7"/>
        <v>830000</v>
      </c>
      <c r="K8" s="8">
        <f>+IF(OR(A8="Mario Ortiz",A8="Herbert Schulz"),0,IF(J8&gt;Datos!$B$6,((Datos!$B$4/30)*'Tabla Remuneraciones'!I8),'Tabla Remuneraciones'!J8*0.25))</f>
        <v>83125</v>
      </c>
      <c r="O8" s="17">
        <f t="shared" si="2"/>
        <v>913125</v>
      </c>
      <c r="P8" s="8">
        <v>80000</v>
      </c>
      <c r="Q8" s="8">
        <v>80000</v>
      </c>
      <c r="R8" s="8">
        <v>19547</v>
      </c>
      <c r="V8" s="17">
        <f t="shared" si="3"/>
        <v>1092672</v>
      </c>
      <c r="W8" t="s">
        <v>42</v>
      </c>
      <c r="X8" s="9">
        <v>0.1077</v>
      </c>
      <c r="Y8" s="8">
        <f>+IF(O8&gt;(F8*Datos!$H$1),((F8*Datos!$H$1)*X8),O8*X8)</f>
        <v>98343.5625</v>
      </c>
      <c r="Z8" s="8">
        <f>+IF(O8&gt;(F8*Datos!$H$1),1.26%*(F8*Datos!$H$1),O8*1.26%)</f>
        <v>11505.375</v>
      </c>
      <c r="AC8" t="s">
        <v>43</v>
      </c>
      <c r="AD8" s="10">
        <v>7.0000000000000007E-2</v>
      </c>
      <c r="AE8">
        <v>2.44</v>
      </c>
      <c r="AF8" s="8">
        <f t="shared" si="0"/>
        <v>58600.064799999993</v>
      </c>
      <c r="AG8" s="8">
        <f>+IF(O8&gt;(F8*Datos!$H$1),(F8*Datos!$H$1)*AD8,O8*AD8)</f>
        <v>63918.750000000007</v>
      </c>
      <c r="AH8" s="8">
        <f t="shared" ref="AH8:AH11" si="8">+IF(AF8-AG8&lt;0,0,AF8-AG8)</f>
        <v>0</v>
      </c>
      <c r="AI8" s="11">
        <v>0</v>
      </c>
      <c r="AJ8">
        <f>+IF(O8&gt;(G8*Datos!$H$3),(G8*Datos!$H$3)*AI8,O8*AI8)</f>
        <v>0</v>
      </c>
      <c r="AK8" s="17">
        <f t="shared" ref="AK8:AK11" si="9">+Y8+Z8+AA8+AB8+AG8+AH8+AJ8</f>
        <v>173767.6875</v>
      </c>
      <c r="AL8" s="12">
        <f t="shared" ref="AL8:AL11" si="10">+O8-AK8+Z8</f>
        <v>750862.6875</v>
      </c>
    </row>
    <row r="9" spans="1:39" x14ac:dyDescent="0.25">
      <c r="A9" t="s">
        <v>64</v>
      </c>
      <c r="B9" t="s">
        <v>44</v>
      </c>
      <c r="C9" t="s">
        <v>69</v>
      </c>
      <c r="D9" s="23">
        <v>2014</v>
      </c>
      <c r="E9" s="25" t="s">
        <v>72</v>
      </c>
      <c r="F9" s="7">
        <v>24016.42</v>
      </c>
      <c r="G9" s="8">
        <v>42052</v>
      </c>
      <c r="H9" s="8">
        <v>1850000</v>
      </c>
      <c r="I9" s="8">
        <v>30</v>
      </c>
      <c r="J9" s="8">
        <f t="shared" si="7"/>
        <v>1850000</v>
      </c>
      <c r="K9" s="8">
        <f>+IF(OR(A9="Mario Ortiz",A9="Herbert Schulz"),0,IF(J9&gt;Datos!$B$6,((Datos!$B$4/30)*'Tabla Remuneraciones'!I9),'Tabla Remuneraciones'!J9*0.25))</f>
        <v>83125</v>
      </c>
      <c r="O9" s="17">
        <f t="shared" si="2"/>
        <v>1933125</v>
      </c>
      <c r="P9" s="8">
        <v>47000</v>
      </c>
      <c r="Q9" s="8">
        <v>47000</v>
      </c>
      <c r="V9" s="17">
        <f t="shared" si="3"/>
        <v>2027125</v>
      </c>
      <c r="W9" t="s">
        <v>42</v>
      </c>
      <c r="X9" s="9">
        <v>0.1077</v>
      </c>
      <c r="Y9" s="8">
        <f>+IF(O9&gt;(F9*Datos!$H$1),((F9*Datos!$H$1)*X9),O9*X9)</f>
        <v>187008.89777819999</v>
      </c>
      <c r="Z9" s="8">
        <f>+IF(O9&gt;(F9*Datos!$H$1),1.26%*(F9*Datos!$H$1),O9*1.26%)</f>
        <v>21878.478291599997</v>
      </c>
      <c r="AC9" t="s">
        <v>45</v>
      </c>
      <c r="AD9" s="10">
        <v>7.0000000000000007E-2</v>
      </c>
      <c r="AF9" s="8">
        <f t="shared" si="0"/>
        <v>135318.75</v>
      </c>
      <c r="AG9" s="8">
        <f>+IF(O9&gt;(F9*Datos!$H$1),(F9*Datos!$H$1)*AD9,O9*AD9)</f>
        <v>121547.10161999999</v>
      </c>
      <c r="AH9" s="8">
        <f t="shared" si="8"/>
        <v>13771.648380000013</v>
      </c>
      <c r="AI9" s="11">
        <v>0</v>
      </c>
      <c r="AJ9">
        <f>+IF(O9&gt;(G9*Datos!$H$3),(G9*Datos!$H$3)*AI9,O9*AI9)</f>
        <v>0</v>
      </c>
      <c r="AK9" s="17">
        <f t="shared" si="9"/>
        <v>344206.1260698</v>
      </c>
      <c r="AL9" s="12">
        <f t="shared" si="10"/>
        <v>1610797.3522218</v>
      </c>
    </row>
    <row r="10" spans="1:39" x14ac:dyDescent="0.25">
      <c r="A10" t="s">
        <v>65</v>
      </c>
      <c r="B10" t="s">
        <v>44</v>
      </c>
      <c r="C10" t="s">
        <v>70</v>
      </c>
      <c r="D10" s="23">
        <v>2014</v>
      </c>
      <c r="E10" s="25" t="s">
        <v>72</v>
      </c>
      <c r="F10" s="7">
        <v>24016.42</v>
      </c>
      <c r="G10" s="8">
        <v>42052</v>
      </c>
      <c r="H10" s="8">
        <v>498225</v>
      </c>
      <c r="I10" s="8">
        <v>30</v>
      </c>
      <c r="J10" s="8">
        <f t="shared" si="7"/>
        <v>498225</v>
      </c>
      <c r="K10" s="8">
        <f>+IF(OR(A10="Mario Ortiz",A10="Herbert Schulz"),0,IF(J10&gt;Datos!$B$6,((Datos!$B$4/30)*'Tabla Remuneraciones'!I10),'Tabla Remuneraciones'!J10*0.25))</f>
        <v>83125</v>
      </c>
      <c r="O10" s="17">
        <f t="shared" si="2"/>
        <v>581350</v>
      </c>
      <c r="P10" s="8">
        <v>47000</v>
      </c>
      <c r="Q10" s="8">
        <v>47000</v>
      </c>
      <c r="V10" s="17">
        <f t="shared" si="3"/>
        <v>675350</v>
      </c>
      <c r="W10" t="s">
        <v>42</v>
      </c>
      <c r="X10" s="9">
        <v>0.1077</v>
      </c>
      <c r="Y10" s="8">
        <f>+IF(O10&gt;(F10*Datos!$H$1),((F10*Datos!$H$1)*X10),O10*X10)</f>
        <v>62611.395000000004</v>
      </c>
      <c r="Z10" s="8">
        <f>+IF(O10&gt;(F10*Datos!$H$1),1.26%*(F10*Datos!$H$1),O10*1.26%)</f>
        <v>7325.01</v>
      </c>
      <c r="AC10" t="s">
        <v>45</v>
      </c>
      <c r="AD10" s="10">
        <v>7.0000000000000007E-2</v>
      </c>
      <c r="AF10" s="8">
        <f t="shared" si="0"/>
        <v>40694.500000000007</v>
      </c>
      <c r="AG10" s="8">
        <f>+IF(O10&gt;(F10*Datos!$H$1),(F10*Datos!$H$1)*AD10,O10*AD10)</f>
        <v>40694.500000000007</v>
      </c>
      <c r="AH10" s="8">
        <f t="shared" si="8"/>
        <v>0</v>
      </c>
      <c r="AI10" s="11">
        <v>0</v>
      </c>
      <c r="AJ10">
        <f>+IF(O10&gt;(G10*Datos!$H$3),(G10*Datos!$H$3)*AI10,O10*AI10)</f>
        <v>0</v>
      </c>
      <c r="AK10" s="17">
        <f t="shared" si="9"/>
        <v>110630.905</v>
      </c>
      <c r="AL10" s="12">
        <f t="shared" si="10"/>
        <v>478044.10499999998</v>
      </c>
    </row>
    <row r="11" spans="1:39" x14ac:dyDescent="0.25">
      <c r="A11" t="s">
        <v>66</v>
      </c>
      <c r="B11" t="s">
        <v>44</v>
      </c>
      <c r="C11" t="s">
        <v>71</v>
      </c>
      <c r="D11" s="23">
        <v>2014</v>
      </c>
      <c r="E11" s="25" t="s">
        <v>72</v>
      </c>
      <c r="F11" s="7">
        <v>24016.42</v>
      </c>
      <c r="G11" s="8">
        <v>42052</v>
      </c>
      <c r="H11" s="8">
        <v>940000</v>
      </c>
      <c r="I11" s="8">
        <v>30</v>
      </c>
      <c r="J11" s="8">
        <f t="shared" si="7"/>
        <v>940000</v>
      </c>
      <c r="K11" s="8">
        <f>+IF(OR(A11="Mario Ortiz",A11="Herbert Schulz"),0,IF(J11&gt;Datos!$B$6,((Datos!$B$4/30)*'Tabla Remuneraciones'!I11),'Tabla Remuneraciones'!J11*0.25))</f>
        <v>83125</v>
      </c>
      <c r="O11" s="17">
        <f t="shared" si="2"/>
        <v>1023125</v>
      </c>
      <c r="P11" s="8">
        <v>47000</v>
      </c>
      <c r="Q11" s="8">
        <v>47000</v>
      </c>
      <c r="V11" s="17">
        <f t="shared" si="3"/>
        <v>1117125</v>
      </c>
      <c r="W11" t="s">
        <v>46</v>
      </c>
      <c r="X11" s="9">
        <v>0.1144</v>
      </c>
      <c r="Y11" s="8">
        <f>+IF(O11&gt;(F11*Datos!$H$1),((F11*Datos!$H$1)*X11),O11*X11)</f>
        <v>117045.5</v>
      </c>
      <c r="Z11" s="8">
        <f>+IF(O11&gt;(F11*Datos!$H$1),1.26%*(F11*Datos!$H$1),O11*1.26%)</f>
        <v>12891.375</v>
      </c>
      <c r="AC11" t="s">
        <v>43</v>
      </c>
      <c r="AD11" s="10">
        <v>7.0000000000000007E-2</v>
      </c>
      <c r="AE11">
        <v>3.06</v>
      </c>
      <c r="AF11" s="8">
        <f t="shared" si="0"/>
        <v>73490.24519999999</v>
      </c>
      <c r="AG11" s="8">
        <f>+IF(O11&gt;(F11*Datos!$H$1),(F11*Datos!$H$1)*AD11,O11*AD11)</f>
        <v>71618.75</v>
      </c>
      <c r="AH11" s="8">
        <f t="shared" si="8"/>
        <v>1871.4951999999903</v>
      </c>
      <c r="AI11" s="11">
        <v>0</v>
      </c>
      <c r="AJ11">
        <f>+IF(O11&gt;(G11*Datos!$H$3),(G11*Datos!$H$3)*AI11,O11*AI11)</f>
        <v>0</v>
      </c>
      <c r="AK11" s="17">
        <f t="shared" si="9"/>
        <v>203427.1202</v>
      </c>
      <c r="AL11" s="12">
        <f t="shared" si="10"/>
        <v>832589.2548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="80" zoomScaleNormal="80" workbookViewId="0">
      <selection activeCell="G22" sqref="G22"/>
    </sheetView>
  </sheetViews>
  <sheetFormatPr baseColWidth="10" defaultRowHeight="15" x14ac:dyDescent="0.25"/>
  <cols>
    <col min="1" max="1" width="15.85546875" bestFit="1" customWidth="1"/>
    <col min="7" max="7" width="13.7109375" customWidth="1"/>
  </cols>
  <sheetData>
    <row r="1" spans="1:9" x14ac:dyDescent="0.25">
      <c r="A1" s="15" t="s">
        <v>56</v>
      </c>
      <c r="B1" s="15"/>
      <c r="E1" s="15" t="s">
        <v>55</v>
      </c>
      <c r="F1" s="15"/>
      <c r="G1" s="15"/>
      <c r="H1">
        <v>72.3</v>
      </c>
      <c r="I1" t="s">
        <v>52</v>
      </c>
    </row>
    <row r="2" spans="1:9" x14ac:dyDescent="0.25">
      <c r="A2" t="s">
        <v>54</v>
      </c>
      <c r="B2" s="13">
        <v>210000</v>
      </c>
      <c r="E2" s="15" t="s">
        <v>53</v>
      </c>
      <c r="F2" s="15"/>
      <c r="G2" s="15"/>
      <c r="H2">
        <v>50</v>
      </c>
      <c r="I2" t="s">
        <v>52</v>
      </c>
    </row>
    <row r="3" spans="1:9" x14ac:dyDescent="0.25">
      <c r="A3" t="s">
        <v>51</v>
      </c>
      <c r="B3" s="13">
        <f>+B2*4.75</f>
        <v>997500</v>
      </c>
      <c r="E3" s="15" t="s">
        <v>50</v>
      </c>
      <c r="F3" s="15"/>
      <c r="G3" s="15"/>
      <c r="H3">
        <v>108.5</v>
      </c>
      <c r="I3" t="s">
        <v>49</v>
      </c>
    </row>
    <row r="4" spans="1:9" x14ac:dyDescent="0.25">
      <c r="A4" t="s">
        <v>48</v>
      </c>
      <c r="B4" s="13">
        <f>+B3/12</f>
        <v>83125</v>
      </c>
    </row>
    <row r="6" spans="1:9" x14ac:dyDescent="0.25">
      <c r="A6" t="s">
        <v>47</v>
      </c>
      <c r="B6" s="13">
        <f>+B4/0.25</f>
        <v>332500</v>
      </c>
    </row>
  </sheetData>
  <mergeCells count="4">
    <mergeCell ref="A1:B1"/>
    <mergeCell ref="E1:G1"/>
    <mergeCell ref="E2:G2"/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opLeftCell="A2" zoomScale="80" zoomScaleNormal="80" workbookViewId="0">
      <selection activeCell="J19" sqref="J19"/>
    </sheetView>
  </sheetViews>
  <sheetFormatPr baseColWidth="10" defaultRowHeight="15" x14ac:dyDescent="0.25"/>
  <cols>
    <col min="1" max="1" width="5.5703125" style="23" bestFit="1" customWidth="1"/>
    <col min="2" max="2" width="6.42578125" style="25" bestFit="1" customWidth="1"/>
    <col min="3" max="4" width="14.140625" style="31" bestFit="1" customWidth="1"/>
    <col min="5" max="5" width="11.42578125" style="27"/>
    <col min="6" max="6" width="16.5703125" style="28" customWidth="1"/>
  </cols>
  <sheetData>
    <row r="2" spans="1:6" s="1" customFormat="1" ht="30" x14ac:dyDescent="0.25">
      <c r="A2" s="22" t="s">
        <v>3</v>
      </c>
      <c r="B2" s="24" t="s">
        <v>4</v>
      </c>
      <c r="C2" s="34" t="s">
        <v>57</v>
      </c>
      <c r="D2" s="34" t="s">
        <v>58</v>
      </c>
      <c r="E2" s="35" t="s">
        <v>59</v>
      </c>
      <c r="F2" s="36" t="s">
        <v>60</v>
      </c>
    </row>
    <row r="3" spans="1:6" x14ac:dyDescent="0.25">
      <c r="A3" s="23">
        <v>2014</v>
      </c>
      <c r="B3" s="25" t="s">
        <v>39</v>
      </c>
      <c r="C3" s="31">
        <v>0</v>
      </c>
      <c r="D3" s="32">
        <v>564313.5</v>
      </c>
      <c r="E3" s="26">
        <v>0</v>
      </c>
      <c r="F3" s="28">
        <v>0</v>
      </c>
    </row>
    <row r="4" spans="1:6" x14ac:dyDescent="0.25">
      <c r="A4" s="23">
        <v>2014</v>
      </c>
      <c r="B4" s="25" t="s">
        <v>39</v>
      </c>
      <c r="C4" s="33">
        <v>564313.51</v>
      </c>
      <c r="D4" s="33">
        <v>1254030</v>
      </c>
      <c r="E4" s="27">
        <v>0.04</v>
      </c>
      <c r="F4" s="29">
        <v>22572.54</v>
      </c>
    </row>
    <row r="5" spans="1:6" x14ac:dyDescent="0.25">
      <c r="A5" s="23">
        <v>2014</v>
      </c>
      <c r="B5" s="25" t="s">
        <v>39</v>
      </c>
      <c r="C5" s="33">
        <v>1254030.01</v>
      </c>
      <c r="D5" s="33">
        <v>2090050</v>
      </c>
      <c r="E5" s="27">
        <v>0.08</v>
      </c>
      <c r="F5" s="29">
        <v>72733.740000000005</v>
      </c>
    </row>
    <row r="6" spans="1:6" x14ac:dyDescent="0.25">
      <c r="A6" s="23">
        <v>2014</v>
      </c>
      <c r="B6" s="25" t="s">
        <v>39</v>
      </c>
      <c r="C6" s="33">
        <v>2090050.01</v>
      </c>
      <c r="D6" s="33">
        <v>2926070</v>
      </c>
      <c r="E6" s="27">
        <v>0.13500000000000001</v>
      </c>
      <c r="F6" s="29">
        <v>187686.49</v>
      </c>
    </row>
    <row r="7" spans="1:6" x14ac:dyDescent="0.25">
      <c r="A7" s="23">
        <v>2014</v>
      </c>
      <c r="B7" s="25" t="s">
        <v>39</v>
      </c>
      <c r="C7" s="33">
        <v>2926070.01</v>
      </c>
      <c r="D7" s="33">
        <v>3762090</v>
      </c>
      <c r="E7" s="27">
        <v>0.23</v>
      </c>
      <c r="F7" s="29">
        <v>465663.14</v>
      </c>
    </row>
    <row r="8" spans="1:6" x14ac:dyDescent="0.25">
      <c r="A8" s="23">
        <v>2014</v>
      </c>
      <c r="B8" s="25" t="s">
        <v>39</v>
      </c>
      <c r="C8" s="33">
        <v>3762090.01</v>
      </c>
      <c r="D8" s="33">
        <v>5016120</v>
      </c>
      <c r="E8" s="27">
        <v>0.30399999999999999</v>
      </c>
      <c r="F8" s="29">
        <v>744057.8</v>
      </c>
    </row>
    <row r="9" spans="1:6" x14ac:dyDescent="0.25">
      <c r="A9" s="23">
        <v>2014</v>
      </c>
      <c r="B9" s="25" t="s">
        <v>39</v>
      </c>
      <c r="C9" s="33">
        <v>5016120.01</v>
      </c>
      <c r="D9" s="33">
        <v>6270150</v>
      </c>
      <c r="E9" s="27">
        <v>0.35499999999999998</v>
      </c>
      <c r="F9" s="29">
        <v>999879.92</v>
      </c>
    </row>
    <row r="10" spans="1:6" x14ac:dyDescent="0.25">
      <c r="A10" s="23">
        <v>2014</v>
      </c>
      <c r="B10" s="25" t="s">
        <v>39</v>
      </c>
      <c r="C10" s="33">
        <v>6270150.0099999998</v>
      </c>
      <c r="D10" s="31" t="s">
        <v>61</v>
      </c>
      <c r="E10" s="27">
        <v>0.4</v>
      </c>
      <c r="F10" s="29">
        <v>1282036.67</v>
      </c>
    </row>
    <row r="11" spans="1:6" x14ac:dyDescent="0.25">
      <c r="A11" s="23">
        <v>2014</v>
      </c>
      <c r="B11" s="25" t="s">
        <v>72</v>
      </c>
      <c r="C11" s="33">
        <v>0</v>
      </c>
      <c r="D11" s="33">
        <v>567702</v>
      </c>
      <c r="E11" s="27">
        <v>0</v>
      </c>
      <c r="F11" s="28">
        <v>0</v>
      </c>
    </row>
    <row r="12" spans="1:6" x14ac:dyDescent="0.25">
      <c r="A12" s="23">
        <v>2014</v>
      </c>
      <c r="B12" s="25" t="s">
        <v>72</v>
      </c>
      <c r="C12" s="33">
        <v>567702.01</v>
      </c>
      <c r="D12" s="33">
        <v>1261560</v>
      </c>
      <c r="E12" s="27">
        <v>0.04</v>
      </c>
      <c r="F12" s="30">
        <v>22708.080000000002</v>
      </c>
    </row>
    <row r="13" spans="1:6" x14ac:dyDescent="0.25">
      <c r="A13" s="23">
        <v>2014</v>
      </c>
      <c r="B13" s="25" t="s">
        <v>72</v>
      </c>
      <c r="C13" s="33">
        <v>1261560.01</v>
      </c>
      <c r="D13" s="33">
        <v>2102600</v>
      </c>
      <c r="E13" s="27">
        <v>0.08</v>
      </c>
      <c r="F13" s="30">
        <v>73170.48</v>
      </c>
    </row>
    <row r="14" spans="1:6" x14ac:dyDescent="0.25">
      <c r="A14" s="23">
        <v>2014</v>
      </c>
      <c r="B14" s="25" t="s">
        <v>72</v>
      </c>
      <c r="C14" s="33">
        <v>2102600.0099999998</v>
      </c>
      <c r="D14" s="33">
        <v>2943640</v>
      </c>
      <c r="E14" s="27">
        <v>0.13500000000000001</v>
      </c>
      <c r="F14" s="30">
        <v>188813.48</v>
      </c>
    </row>
    <row r="15" spans="1:6" x14ac:dyDescent="0.25">
      <c r="A15" s="23">
        <v>2014</v>
      </c>
      <c r="B15" s="25" t="s">
        <v>72</v>
      </c>
      <c r="C15" s="33">
        <v>2943640.01</v>
      </c>
      <c r="D15" s="33">
        <v>3784680</v>
      </c>
      <c r="E15" s="27">
        <v>0.23</v>
      </c>
      <c r="F15" s="30">
        <v>468459.28</v>
      </c>
    </row>
    <row r="16" spans="1:6" x14ac:dyDescent="0.25">
      <c r="A16" s="23">
        <v>2014</v>
      </c>
      <c r="B16" s="25" t="s">
        <v>72</v>
      </c>
      <c r="C16" s="33">
        <v>3784680.01</v>
      </c>
      <c r="D16" s="33">
        <v>5046240</v>
      </c>
      <c r="E16" s="27">
        <v>0.30399999999999999</v>
      </c>
      <c r="F16" s="30">
        <v>748525.6</v>
      </c>
    </row>
    <row r="17" spans="1:6" x14ac:dyDescent="0.25">
      <c r="A17" s="23">
        <v>2014</v>
      </c>
      <c r="B17" s="25" t="s">
        <v>72</v>
      </c>
      <c r="C17" s="33">
        <v>5046240.01</v>
      </c>
      <c r="D17" s="33">
        <v>6307800</v>
      </c>
      <c r="E17" s="27">
        <v>0.35499999999999998</v>
      </c>
      <c r="F17" s="30">
        <v>1005883.84</v>
      </c>
    </row>
    <row r="18" spans="1:6" x14ac:dyDescent="0.25">
      <c r="A18" s="23">
        <v>2014</v>
      </c>
      <c r="B18" s="25" t="s">
        <v>72</v>
      </c>
      <c r="C18" s="33">
        <v>6307800.0099999998</v>
      </c>
      <c r="D18" s="33" t="s">
        <v>61</v>
      </c>
      <c r="E18" s="27">
        <v>0.4</v>
      </c>
      <c r="F18" s="30">
        <v>1289734.8400000001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 Remuneraciones</vt:lpstr>
      <vt:lpstr>Datos</vt:lpstr>
      <vt:lpstr>Impuesto Único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Mario</cp:lastModifiedBy>
  <dcterms:created xsi:type="dcterms:W3CDTF">2014-06-27T16:24:57Z</dcterms:created>
  <dcterms:modified xsi:type="dcterms:W3CDTF">2014-06-27T19:36:54Z</dcterms:modified>
</cp:coreProperties>
</file>