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5195" windowHeight="8700" activeTab="1"/>
  </bookViews>
  <sheets>
    <sheet name="ACTUAL" sheetId="7" r:id="rId1"/>
    <sheet name="OPTIMIZADO" sheetId="2" r:id="rId2"/>
    <sheet name="Tarifas" sheetId="6" r:id="rId3"/>
  </sheets>
  <definedNames>
    <definedName name="solver_adj" localSheetId="0" hidden="1">ACTUAL!$D$2:$F$2</definedName>
    <definedName name="solver_adj" localSheetId="1" hidden="1">OPTIMIZADO!$D$2:$F$2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hs1" localSheetId="0" hidden="1">ACTUAL!$B$2</definedName>
    <definedName name="solver_lhs1" localSheetId="1" hidden="1">OPTIMIZADO!$B$2</definedName>
    <definedName name="solver_lhs2" localSheetId="0" hidden="1">ACTUAL!$F$2</definedName>
    <definedName name="solver_lhs2" localSheetId="1" hidden="1">OPTIMIZADO!$F$2</definedName>
    <definedName name="solver_lhs3" localSheetId="0" hidden="1">ACTUAL!$E$2</definedName>
    <definedName name="solver_lhs3" localSheetId="1" hidden="1">OPTIMIZADO!$E$2</definedName>
    <definedName name="solver_lhs4" localSheetId="0" hidden="1">ACTUAL!$B$2</definedName>
    <definedName name="solver_lhs4" localSheetId="1" hidden="1">OPTIMIZADO!$B$2</definedName>
    <definedName name="solver_lhs5" localSheetId="0" hidden="1">ACTUAL!$D$2</definedName>
    <definedName name="solver_lhs5" localSheetId="1" hidden="1">OPTIMIZADO!$D$2</definedName>
    <definedName name="solver_lhs6" localSheetId="0" hidden="1">ACTUAL!$H$2</definedName>
    <definedName name="solver_lhs6" localSheetId="1" hidden="1">OPTIMIZADO!$H$2</definedName>
    <definedName name="solver_lhs7" localSheetId="0" hidden="1">ACTUAL!$K$2</definedName>
    <definedName name="solver_lhs7" localSheetId="1" hidden="1">OPTIMIZADO!$K$2</definedName>
    <definedName name="solver_lin" localSheetId="0" hidden="1">2</definedName>
    <definedName name="solver_lin" localSheetId="1" hidden="1">2</definedName>
    <definedName name="solver_neg" localSheetId="0" hidden="1">2</definedName>
    <definedName name="solver_neg" localSheetId="1" hidden="1">2</definedName>
    <definedName name="solver_num" localSheetId="0" hidden="1">7</definedName>
    <definedName name="solver_num" localSheetId="1" hidden="1">7</definedName>
    <definedName name="solver_nwt" localSheetId="0" hidden="1">1</definedName>
    <definedName name="solver_nwt" localSheetId="1" hidden="1">1</definedName>
    <definedName name="solver_opt" localSheetId="0" hidden="1">ACTUAL!$X$19</definedName>
    <definedName name="solver_opt" localSheetId="1" hidden="1">OPTIMIZADO!$X$19</definedName>
    <definedName name="solver_pre" localSheetId="0" hidden="1">0.000001</definedName>
    <definedName name="solver_pre" localSheetId="1" hidden="1">0.000001</definedName>
    <definedName name="solver_rel1" localSheetId="0" hidden="1">4</definedName>
    <definedName name="solver_rel1" localSheetId="1" hidden="1">4</definedName>
    <definedName name="solver_rel2" localSheetId="0" hidden="1">3</definedName>
    <definedName name="solver_rel2" localSheetId="1" hidden="1">3</definedName>
    <definedName name="solver_rel3" localSheetId="0" hidden="1">3</definedName>
    <definedName name="solver_rel3" localSheetId="1" hidden="1">3</definedName>
    <definedName name="solver_rel4" localSheetId="0" hidden="1">1</definedName>
    <definedName name="solver_rel4" localSheetId="1" hidden="1">1</definedName>
    <definedName name="solver_rel5" localSheetId="0" hidden="1">3</definedName>
    <definedName name="solver_rel5" localSheetId="1" hidden="1">3</definedName>
    <definedName name="solver_rel6" localSheetId="0" hidden="1">3</definedName>
    <definedName name="solver_rel6" localSheetId="1" hidden="1">3</definedName>
    <definedName name="solver_rel7" localSheetId="0" hidden="1">3</definedName>
    <definedName name="solver_rel7" localSheetId="1" hidden="1">3</definedName>
    <definedName name="solver_rhs1" localSheetId="0" hidden="1">integer</definedName>
    <definedName name="solver_rhs1" localSheetId="1" hidden="1">integer</definedName>
    <definedName name="solver_rhs2" localSheetId="0" hidden="1">ACTUAL!$E$2</definedName>
    <definedName name="solver_rhs2" localSheetId="1" hidden="1">OPTIMIZADO!$E$2</definedName>
    <definedName name="solver_rhs3" localSheetId="0" hidden="1">ACTUAL!$D$2</definedName>
    <definedName name="solver_rhs3" localSheetId="1" hidden="1">OPTIMIZADO!$D$2</definedName>
    <definedName name="solver_rhs4" localSheetId="0" hidden="1">26</definedName>
    <definedName name="solver_rhs4" localSheetId="1" hidden="1">26</definedName>
    <definedName name="solver_rhs5" localSheetId="0" hidden="1">15</definedName>
    <definedName name="solver_rhs5" localSheetId="1" hidden="1">15</definedName>
    <definedName name="solver_rhs6" localSheetId="0" hidden="1">0.01</definedName>
    <definedName name="solver_rhs6" localSheetId="1" hidden="1">0.01</definedName>
    <definedName name="solver_rhs7" localSheetId="0" hidden="1">0.00001</definedName>
    <definedName name="solver_rhs7" localSheetId="1" hidden="1">0.00001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</definedNames>
  <calcPr calcId="125725"/>
</workbook>
</file>

<file path=xl/calcChain.xml><?xml version="1.0" encoding="utf-8"?>
<calcChain xmlns="http://schemas.openxmlformats.org/spreadsheetml/2006/main">
  <c r="G35" i="7"/>
  <c r="F35"/>
  <c r="H35" s="1"/>
  <c r="D35"/>
  <c r="C35"/>
  <c r="E35" s="1"/>
  <c r="I35" s="1"/>
  <c r="R17" s="1"/>
  <c r="G34"/>
  <c r="F34"/>
  <c r="H34" s="1"/>
  <c r="D34"/>
  <c r="C34"/>
  <c r="E34" s="1"/>
  <c r="I34" s="1"/>
  <c r="R16" s="1"/>
  <c r="G33"/>
  <c r="F33"/>
  <c r="H33" s="1"/>
  <c r="D33"/>
  <c r="C33"/>
  <c r="E33" s="1"/>
  <c r="I33" s="1"/>
  <c r="R15" s="1"/>
  <c r="G32"/>
  <c r="F32"/>
  <c r="H32" s="1"/>
  <c r="D32"/>
  <c r="C32"/>
  <c r="E32" s="1"/>
  <c r="I32" s="1"/>
  <c r="R14" s="1"/>
  <c r="G30"/>
  <c r="F30"/>
  <c r="H30" s="1"/>
  <c r="D30"/>
  <c r="C30"/>
  <c r="E30" s="1"/>
  <c r="I30" s="1"/>
  <c r="R12" s="1"/>
  <c r="G29"/>
  <c r="F29"/>
  <c r="H29" s="1"/>
  <c r="D29"/>
  <c r="C29"/>
  <c r="E29" s="1"/>
  <c r="I29" s="1"/>
  <c r="R11" s="1"/>
  <c r="G28"/>
  <c r="F28"/>
  <c r="H28" s="1"/>
  <c r="D28"/>
  <c r="C28"/>
  <c r="E28" s="1"/>
  <c r="I28" s="1"/>
  <c r="R10" s="1"/>
  <c r="G26"/>
  <c r="F26"/>
  <c r="H26" s="1"/>
  <c r="D26"/>
  <c r="C26"/>
  <c r="E26" s="1"/>
  <c r="I26" s="1"/>
  <c r="R8" s="1"/>
  <c r="G25"/>
  <c r="F25"/>
  <c r="H25" s="1"/>
  <c r="D25"/>
  <c r="C25"/>
  <c r="E25" s="1"/>
  <c r="I25" s="1"/>
  <c r="R7" s="1"/>
  <c r="AL19"/>
  <c r="AM19" s="1"/>
  <c r="AN19" s="1"/>
  <c r="AO19" s="1"/>
  <c r="U19"/>
  <c r="O17"/>
  <c r="N17"/>
  <c r="M17"/>
  <c r="F17"/>
  <c r="O16"/>
  <c r="N16"/>
  <c r="M16"/>
  <c r="F16"/>
  <c r="O15"/>
  <c r="N15"/>
  <c r="M15"/>
  <c r="F15"/>
  <c r="O14"/>
  <c r="N14"/>
  <c r="M14"/>
  <c r="F14"/>
  <c r="O13"/>
  <c r="N13"/>
  <c r="M13"/>
  <c r="H13"/>
  <c r="G13"/>
  <c r="E13"/>
  <c r="D13"/>
  <c r="C13"/>
  <c r="O12"/>
  <c r="N12"/>
  <c r="M12"/>
  <c r="F12"/>
  <c r="O11"/>
  <c r="N11"/>
  <c r="M11"/>
  <c r="F11"/>
  <c r="O10"/>
  <c r="N10"/>
  <c r="M10"/>
  <c r="F10"/>
  <c r="O9"/>
  <c r="N9"/>
  <c r="M9"/>
  <c r="E9"/>
  <c r="D9"/>
  <c r="G27" s="1"/>
  <c r="C9"/>
  <c r="O8"/>
  <c r="N8"/>
  <c r="M8"/>
  <c r="F8"/>
  <c r="T7"/>
  <c r="O7"/>
  <c r="N7"/>
  <c r="M7"/>
  <c r="F7"/>
  <c r="O6"/>
  <c r="N6"/>
  <c r="M6"/>
  <c r="E6"/>
  <c r="D6"/>
  <c r="C6"/>
  <c r="D24" s="1"/>
  <c r="AM5"/>
  <c r="O2"/>
  <c r="N2"/>
  <c r="M2"/>
  <c r="L2"/>
  <c r="K2"/>
  <c r="J2"/>
  <c r="I2"/>
  <c r="H2"/>
  <c r="C2"/>
  <c r="Q25" i="2"/>
  <c r="M25"/>
  <c r="S26"/>
  <c r="O26"/>
  <c r="F31" i="7" l="1"/>
  <c r="H31" s="1"/>
  <c r="D31"/>
  <c r="Q17"/>
  <c r="D54" i="2" s="1"/>
  <c r="G31" i="7"/>
  <c r="P6"/>
  <c r="C43" i="2" s="1"/>
  <c r="P7" i="7"/>
  <c r="C44" i="2" s="1"/>
  <c r="P8" i="7"/>
  <c r="C45" i="2" s="1"/>
  <c r="P9" i="7"/>
  <c r="C46" i="2" s="1"/>
  <c r="P10" i="7"/>
  <c r="C47" i="2" s="1"/>
  <c r="P11" i="7"/>
  <c r="C48" i="2" s="1"/>
  <c r="P12" i="7"/>
  <c r="C49" i="2" s="1"/>
  <c r="P13" i="7"/>
  <c r="C50" i="2" s="1"/>
  <c r="P14" i="7"/>
  <c r="C51" i="2" s="1"/>
  <c r="P15" i="7"/>
  <c r="C52" i="2" s="1"/>
  <c r="P16" i="7"/>
  <c r="C53" i="2" s="1"/>
  <c r="P17" i="7"/>
  <c r="Q6"/>
  <c r="D43" i="2" s="1"/>
  <c r="T8" i="7"/>
  <c r="T9" s="1"/>
  <c r="T10" s="1"/>
  <c r="T11" s="1"/>
  <c r="T12" s="1"/>
  <c r="T13" s="1"/>
  <c r="T14" s="1"/>
  <c r="T15" s="1"/>
  <c r="T16" s="1"/>
  <c r="T17" s="1"/>
  <c r="Q9"/>
  <c r="D46" i="2" s="1"/>
  <c r="Q10" i="7"/>
  <c r="Q11"/>
  <c r="Q12"/>
  <c r="F13"/>
  <c r="C19"/>
  <c r="E19"/>
  <c r="C20"/>
  <c r="E20"/>
  <c r="C24"/>
  <c r="G24"/>
  <c r="D27"/>
  <c r="F27"/>
  <c r="H27" s="1"/>
  <c r="C31"/>
  <c r="E31" s="1"/>
  <c r="I31" s="1"/>
  <c r="R13" s="1"/>
  <c r="F6"/>
  <c r="Q7"/>
  <c r="Q8"/>
  <c r="F9"/>
  <c r="Q13"/>
  <c r="Q14"/>
  <c r="Q15"/>
  <c r="D52" i="2" s="1"/>
  <c r="Q16" i="7"/>
  <c r="D19"/>
  <c r="D20"/>
  <c r="F24"/>
  <c r="C27"/>
  <c r="E27" s="1"/>
  <c r="I27" s="1"/>
  <c r="R9" s="1"/>
  <c r="P20" l="1"/>
  <c r="P19"/>
  <c r="S13"/>
  <c r="D50" i="2"/>
  <c r="S8" i="7"/>
  <c r="D45" i="2"/>
  <c r="S11" i="7"/>
  <c r="D48" i="2"/>
  <c r="S16" i="7"/>
  <c r="D53" i="2"/>
  <c r="S14" i="7"/>
  <c r="D51" i="2"/>
  <c r="S7" i="7"/>
  <c r="D44" i="2"/>
  <c r="S12" i="7"/>
  <c r="D49" i="2"/>
  <c r="S10" i="7"/>
  <c r="D47" i="2"/>
  <c r="S17" i="7"/>
  <c r="V17" s="1"/>
  <c r="W17" s="1"/>
  <c r="X17" s="1"/>
  <c r="C54" i="2"/>
  <c r="S9" i="7"/>
  <c r="H24"/>
  <c r="F20"/>
  <c r="F19"/>
  <c r="Q20"/>
  <c r="Q19"/>
  <c r="S15"/>
  <c r="V15" s="1"/>
  <c r="V7"/>
  <c r="V16"/>
  <c r="V14"/>
  <c r="V13"/>
  <c r="V12"/>
  <c r="V11"/>
  <c r="V10"/>
  <c r="V9"/>
  <c r="V8"/>
  <c r="E24"/>
  <c r="I24" s="1"/>
  <c r="R6" s="1"/>
  <c r="T19"/>
  <c r="S6"/>
  <c r="S19" s="1"/>
  <c r="M6" i="2"/>
  <c r="N2"/>
  <c r="O2"/>
  <c r="T7"/>
  <c r="T8" s="1"/>
  <c r="T9" s="1"/>
  <c r="U19"/>
  <c r="O7"/>
  <c r="O8"/>
  <c r="O9"/>
  <c r="O10"/>
  <c r="O11"/>
  <c r="O12"/>
  <c r="O13"/>
  <c r="O14"/>
  <c r="O15"/>
  <c r="O16"/>
  <c r="O17"/>
  <c r="O6"/>
  <c r="N7"/>
  <c r="N8"/>
  <c r="N9"/>
  <c r="N10"/>
  <c r="N11"/>
  <c r="N12"/>
  <c r="N13"/>
  <c r="N14"/>
  <c r="N15"/>
  <c r="N16"/>
  <c r="N17"/>
  <c r="N6"/>
  <c r="M7"/>
  <c r="M8"/>
  <c r="M9"/>
  <c r="M10"/>
  <c r="M11"/>
  <c r="M12"/>
  <c r="M13"/>
  <c r="M14"/>
  <c r="M15"/>
  <c r="M16"/>
  <c r="M17"/>
  <c r="L2"/>
  <c r="M2"/>
  <c r="K2"/>
  <c r="I2"/>
  <c r="J2"/>
  <c r="H2"/>
  <c r="C2"/>
  <c r="H17" i="6"/>
  <c r="G17"/>
  <c r="F17"/>
  <c r="H15"/>
  <c r="G15"/>
  <c r="F15"/>
  <c r="H14"/>
  <c r="G14"/>
  <c r="F14"/>
  <c r="F3"/>
  <c r="G3" s="1"/>
  <c r="H3" s="1"/>
  <c r="V6" i="7" l="1"/>
  <c r="E54" i="2"/>
  <c r="W15" i="7"/>
  <c r="X15" s="1"/>
  <c r="R19"/>
  <c r="R20"/>
  <c r="W8"/>
  <c r="X8" s="1"/>
  <c r="W10"/>
  <c r="X10" s="1"/>
  <c r="W12"/>
  <c r="X12" s="1"/>
  <c r="W14"/>
  <c r="X14" s="1"/>
  <c r="W7"/>
  <c r="X7" s="1"/>
  <c r="V19"/>
  <c r="W6"/>
  <c r="X6" s="1"/>
  <c r="E43" i="2" s="1"/>
  <c r="W9" i="7"/>
  <c r="X9" s="1"/>
  <c r="W11"/>
  <c r="X11" s="1"/>
  <c r="W13"/>
  <c r="X13" s="1"/>
  <c r="W16"/>
  <c r="X16" s="1"/>
  <c r="Q7" i="2"/>
  <c r="G44" s="1"/>
  <c r="P17"/>
  <c r="F54" s="1"/>
  <c r="P15"/>
  <c r="F52" s="1"/>
  <c r="P13"/>
  <c r="F50" s="1"/>
  <c r="P11"/>
  <c r="F48" s="1"/>
  <c r="P9"/>
  <c r="F46" s="1"/>
  <c r="P7"/>
  <c r="F44" s="1"/>
  <c r="P6"/>
  <c r="F43" s="1"/>
  <c r="P16"/>
  <c r="F53" s="1"/>
  <c r="P14"/>
  <c r="F51" s="1"/>
  <c r="P12"/>
  <c r="F49" s="1"/>
  <c r="P10"/>
  <c r="F47" s="1"/>
  <c r="P8"/>
  <c r="F45" s="1"/>
  <c r="Q16"/>
  <c r="G53" s="1"/>
  <c r="Q14"/>
  <c r="G51" s="1"/>
  <c r="Q12"/>
  <c r="G49" s="1"/>
  <c r="Q10"/>
  <c r="G47" s="1"/>
  <c r="Q8"/>
  <c r="G45" s="1"/>
  <c r="Q17"/>
  <c r="G54" s="1"/>
  <c r="Q15"/>
  <c r="G52" s="1"/>
  <c r="Q11"/>
  <c r="G48" s="1"/>
  <c r="T10"/>
  <c r="T11" s="1"/>
  <c r="T12" s="1"/>
  <c r="T13" s="1"/>
  <c r="T14" s="1"/>
  <c r="T15" s="1"/>
  <c r="T16" s="1"/>
  <c r="T17" s="1"/>
  <c r="C26"/>
  <c r="E26" s="1"/>
  <c r="H13"/>
  <c r="G13"/>
  <c r="E13"/>
  <c r="D13"/>
  <c r="C13"/>
  <c r="E9"/>
  <c r="D9"/>
  <c r="C9"/>
  <c r="Q9" s="1"/>
  <c r="G46" s="1"/>
  <c r="E6"/>
  <c r="D6"/>
  <c r="C6"/>
  <c r="D24" s="1"/>
  <c r="E50" l="1"/>
  <c r="E46"/>
  <c r="E51"/>
  <c r="E47"/>
  <c r="E52"/>
  <c r="E53"/>
  <c r="E48"/>
  <c r="E44"/>
  <c r="E49"/>
  <c r="E45"/>
  <c r="X20" i="7"/>
  <c r="X19"/>
  <c r="K19" s="1"/>
  <c r="W19"/>
  <c r="C19" i="2"/>
  <c r="P20"/>
  <c r="P19"/>
  <c r="Q6"/>
  <c r="G43" s="1"/>
  <c r="Q13"/>
  <c r="G50" s="1"/>
  <c r="T19"/>
  <c r="E56" l="1"/>
  <c r="Q20"/>
  <c r="Q19"/>
  <c r="AM5" l="1"/>
  <c r="F6"/>
  <c r="F7"/>
  <c r="F8"/>
  <c r="F9"/>
  <c r="F10"/>
  <c r="F11"/>
  <c r="F12"/>
  <c r="F13"/>
  <c r="F14"/>
  <c r="F15"/>
  <c r="F16"/>
  <c r="F17"/>
  <c r="D19"/>
  <c r="E19"/>
  <c r="AL19"/>
  <c r="AM19" s="1"/>
  <c r="AN19" s="1"/>
  <c r="AO19" s="1"/>
  <c r="C20"/>
  <c r="D20"/>
  <c r="E20"/>
  <c r="C24"/>
  <c r="E24" s="1"/>
  <c r="F24"/>
  <c r="G24"/>
  <c r="C25"/>
  <c r="D25"/>
  <c r="E25"/>
  <c r="F25"/>
  <c r="H25" s="1"/>
  <c r="G25"/>
  <c r="D26"/>
  <c r="F26"/>
  <c r="H26" s="1"/>
  <c r="G26"/>
  <c r="C27"/>
  <c r="D27"/>
  <c r="E27"/>
  <c r="F27"/>
  <c r="G27"/>
  <c r="C28"/>
  <c r="D28"/>
  <c r="E28"/>
  <c r="F28"/>
  <c r="H28" s="1"/>
  <c r="G28"/>
  <c r="C29"/>
  <c r="D29"/>
  <c r="E29"/>
  <c r="F29"/>
  <c r="G29"/>
  <c r="H29"/>
  <c r="C30"/>
  <c r="E30" s="1"/>
  <c r="D30"/>
  <c r="F30"/>
  <c r="G30"/>
  <c r="H30"/>
  <c r="C31"/>
  <c r="E31" s="1"/>
  <c r="D31"/>
  <c r="F31"/>
  <c r="G31"/>
  <c r="H31"/>
  <c r="C32"/>
  <c r="E32" s="1"/>
  <c r="D32"/>
  <c r="F32"/>
  <c r="H32" s="1"/>
  <c r="G32"/>
  <c r="C33"/>
  <c r="D33"/>
  <c r="E33"/>
  <c r="F33"/>
  <c r="G33"/>
  <c r="H33"/>
  <c r="C34"/>
  <c r="D34"/>
  <c r="E34"/>
  <c r="F34"/>
  <c r="H34" s="1"/>
  <c r="G34"/>
  <c r="C35"/>
  <c r="E35" s="1"/>
  <c r="D35"/>
  <c r="F35"/>
  <c r="G35"/>
  <c r="H35"/>
  <c r="H24" l="1"/>
  <c r="I24" s="1"/>
  <c r="R6" s="1"/>
  <c r="S6" s="1"/>
  <c r="V6" s="1"/>
  <c r="Q24"/>
  <c r="S24" s="1"/>
  <c r="R28" s="1"/>
  <c r="M24"/>
  <c r="O24" s="1"/>
  <c r="N28" s="1"/>
  <c r="H27"/>
  <c r="I27" s="1"/>
  <c r="R9" s="1"/>
  <c r="I35"/>
  <c r="R17" s="1"/>
  <c r="F20"/>
  <c r="I34"/>
  <c r="R16" s="1"/>
  <c r="I33"/>
  <c r="R15" s="1"/>
  <c r="I32"/>
  <c r="R14" s="1"/>
  <c r="I31"/>
  <c r="R13" s="1"/>
  <c r="I30"/>
  <c r="R12" s="1"/>
  <c r="I29"/>
  <c r="R11" s="1"/>
  <c r="I28"/>
  <c r="R10" s="1"/>
  <c r="I26"/>
  <c r="R8" s="1"/>
  <c r="I25"/>
  <c r="R7" s="1"/>
  <c r="F19"/>
  <c r="R20" l="1"/>
  <c r="O30"/>
  <c r="S8"/>
  <c r="V8" s="1"/>
  <c r="S10"/>
  <c r="S7"/>
  <c r="V7" s="1"/>
  <c r="W7" s="1"/>
  <c r="S9"/>
  <c r="V9" s="1"/>
  <c r="S11"/>
  <c r="V11" s="1"/>
  <c r="S12"/>
  <c r="V12" s="1"/>
  <c r="S13"/>
  <c r="V13" s="1"/>
  <c r="S14"/>
  <c r="V14" s="1"/>
  <c r="S15"/>
  <c r="V15" s="1"/>
  <c r="S16"/>
  <c r="V16" s="1"/>
  <c r="S17"/>
  <c r="V17" s="1"/>
  <c r="R19"/>
  <c r="W6"/>
  <c r="V10" l="1"/>
  <c r="W17"/>
  <c r="W9"/>
  <c r="W16"/>
  <c r="W14"/>
  <c r="W15"/>
  <c r="S19"/>
  <c r="X7"/>
  <c r="H44" s="1"/>
  <c r="I44" s="1"/>
  <c r="X6"/>
  <c r="H43" s="1"/>
  <c r="W8"/>
  <c r="W11"/>
  <c r="I43" l="1"/>
  <c r="W10"/>
  <c r="X15"/>
  <c r="H52" s="1"/>
  <c r="I52" s="1"/>
  <c r="W12"/>
  <c r="X12" s="1"/>
  <c r="H49" s="1"/>
  <c r="I49" s="1"/>
  <c r="X16"/>
  <c r="W13"/>
  <c r="V19"/>
  <c r="X14"/>
  <c r="X9"/>
  <c r="H46" s="1"/>
  <c r="I46" s="1"/>
  <c r="X17"/>
  <c r="H54" s="1"/>
  <c r="I54" s="1"/>
  <c r="H51" l="1"/>
  <c r="I51" s="1"/>
  <c r="H53"/>
  <c r="I53" s="1"/>
  <c r="X13"/>
  <c r="X10"/>
  <c r="H47" s="1"/>
  <c r="I47" s="1"/>
  <c r="W19"/>
  <c r="X8"/>
  <c r="H45" s="1"/>
  <c r="X11"/>
  <c r="H48" s="1"/>
  <c r="I48" s="1"/>
  <c r="I45" l="1"/>
  <c r="H50"/>
  <c r="I50" s="1"/>
  <c r="I56" s="1"/>
  <c r="X20"/>
  <c r="X19"/>
  <c r="H56" l="1"/>
  <c r="K19"/>
</calcChain>
</file>

<file path=xl/sharedStrings.xml><?xml version="1.0" encoding="utf-8"?>
<sst xmlns="http://schemas.openxmlformats.org/spreadsheetml/2006/main" count="311" uniqueCount="104">
  <si>
    <t>Tarifa</t>
  </si>
  <si>
    <t>Pc1</t>
  </si>
  <si>
    <t>Pc2</t>
  </si>
  <si>
    <t>Pc3</t>
  </si>
  <si>
    <t>Modo Fact</t>
  </si>
  <si>
    <t>Maximetro</t>
  </si>
  <si>
    <t>Periodo</t>
  </si>
  <si>
    <t>Mes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</si>
  <si>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</si>
  <si>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</si>
  <si>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</si>
  <si>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</si>
  <si>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</si>
  <si>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</si>
  <si>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</si>
  <si>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</si>
  <si>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Noviembre</t>
  </si>
  <si>
    <t>Diciembre</t>
  </si>
  <si>
    <t>Punta</t>
  </si>
  <si>
    <t>kWh</t>
  </si>
  <si>
    <t>Llano</t>
  </si>
  <si>
    <t>Valle</t>
  </si>
  <si>
    <t>Activa</t>
  </si>
  <si>
    <t>Reactiva 1</t>
  </si>
  <si>
    <t>Reactiva 2</t>
  </si>
  <si>
    <t>Reactiva 3</t>
  </si>
  <si>
    <t>kVArh</t>
  </si>
  <si>
    <t>Max 1</t>
  </si>
  <si>
    <t>kW</t>
  </si>
  <si>
    <t>Max 2</t>
  </si>
  <si>
    <t>Max 3</t>
  </si>
  <si>
    <t>T. Potencia</t>
  </si>
  <si>
    <t>€</t>
  </si>
  <si>
    <t>T. Energía</t>
  </si>
  <si>
    <t>Reactiva</t>
  </si>
  <si>
    <t>Recargo por Reactiva</t>
  </si>
  <si>
    <t>Cos fi P1</t>
  </si>
  <si>
    <t>Reactiva F1</t>
  </si>
  <si>
    <t>Recargo R1</t>
  </si>
  <si>
    <t>Cos fi P2</t>
  </si>
  <si>
    <t>Reactiva F2</t>
  </si>
  <si>
    <t>Recargo R2</t>
  </si>
  <si>
    <t>Impuestos</t>
  </si>
  <si>
    <t>Alquiler</t>
  </si>
  <si>
    <t>Base</t>
  </si>
  <si>
    <t>IVA</t>
  </si>
  <si>
    <t>TOTAL</t>
  </si>
  <si>
    <t>3.0A</t>
  </si>
  <si>
    <t>Enero</t>
  </si>
  <si>
    <t>Octubre</t>
  </si>
  <si>
    <t>PROMEDIO</t>
  </si>
  <si>
    <t>Servicio Gestión</t>
  </si>
  <si>
    <t>Pot. Facturada</t>
  </si>
  <si>
    <t>Potencia Registrada</t>
  </si>
  <si>
    <t>Ident</t>
  </si>
  <si>
    <t>TE punta</t>
  </si>
  <si>
    <t>TE llano</t>
  </si>
  <si>
    <t>TE valle</t>
  </si>
  <si>
    <t>TP punta</t>
  </si>
  <si>
    <t>TP llano</t>
  </si>
  <si>
    <t>TP valle</t>
  </si>
  <si>
    <t>Descuento Energía</t>
  </si>
  <si>
    <t>Descuento Potencia</t>
  </si>
  <si>
    <t>MT</t>
  </si>
  <si>
    <t>Endesa</t>
  </si>
  <si>
    <t>3.1A</t>
  </si>
  <si>
    <t>Iberdrola</t>
  </si>
  <si>
    <t>Union Fenosa</t>
  </si>
  <si>
    <t>Eon</t>
  </si>
  <si>
    <t>HC energía</t>
  </si>
  <si>
    <t>Nexus Energía</t>
  </si>
  <si>
    <t>Enercoluz</t>
  </si>
  <si>
    <t>Galp</t>
  </si>
  <si>
    <t>No</t>
  </si>
  <si>
    <t>Audax</t>
  </si>
  <si>
    <t>Enara</t>
  </si>
  <si>
    <t>Solo para consumos anuales &lt; 50000 kwh</t>
  </si>
  <si>
    <t>Gesternova</t>
  </si>
  <si>
    <t>Para consumos anuales &gt; 45000 kWh pedir oferta personalizada</t>
  </si>
  <si>
    <t>Lumisa</t>
  </si>
  <si>
    <t>Orus</t>
  </si>
  <si>
    <t>TP a fact 1</t>
  </si>
  <si>
    <t>TP a fact 3</t>
  </si>
  <si>
    <t>TP a fact 2</t>
  </si>
  <si>
    <t>PUNTA</t>
  </si>
  <si>
    <t>LLANO</t>
  </si>
  <si>
    <t>Cos fi mas desf</t>
  </si>
  <si>
    <t>Tg fi</t>
  </si>
  <si>
    <t>Potencia max</t>
  </si>
  <si>
    <t>Cos fi deseado</t>
  </si>
  <si>
    <t>Tg fi '</t>
  </si>
  <si>
    <t>Potencia Batería Condens</t>
  </si>
  <si>
    <t>POTENCIA BATERÍA CONDENSADORES</t>
  </si>
  <si>
    <t>kVAr</t>
  </si>
  <si>
    <t>TP1, €/kW año</t>
  </si>
  <si>
    <t>TP2, €/kW año</t>
  </si>
  <si>
    <t>TP3, €/kW año</t>
  </si>
  <si>
    <t>TE1, €/kWh</t>
  </si>
  <si>
    <t>TE2, €/kWh</t>
  </si>
  <si>
    <t>TE3, €/kWh</t>
  </si>
  <si>
    <t>RECARGO TOTAL</t>
  </si>
  <si>
    <t>ACTUAL</t>
  </si>
  <si>
    <t>OPTIMIZADA</t>
  </si>
  <si>
    <t>AHORRO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</si>
</sst>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00000"/>
    <numFmt numFmtId="167" formatCode="0.0"/>
  </numFmts>
  <fonts count="25">
    <font>
      <sz val="10"/>
      <name val="Arial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b/>
      <sz val="8"/>
      <color rgb="FF325275"/>
      <name val="Tahoma"/>
      <family val="2"/>
    </font>
    <font>
      <sz val="9"/>
      <color rgb="FF004165"/>
      <name val="Arial"/>
      <family val="2"/>
    </font>
    <font>
      <sz val="8"/>
      <color rgb="FF000000"/>
      <name val="Verdana"/>
      <family val="2"/>
    </font>
    <font>
      <sz val="8"/>
      <color rgb="FF68686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indexed="64"/>
      </left>
      <right style="thin">
        <color indexed="23"/>
      </right>
      <top style="medium">
        <color indexed="64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64"/>
      </top>
      <bottom style="thin">
        <color indexed="23"/>
      </bottom>
      <diagonal/>
    </border>
    <border>
      <left style="thin">
        <color indexed="23"/>
      </left>
      <right style="medium">
        <color indexed="64"/>
      </right>
      <top style="medium">
        <color indexed="64"/>
      </top>
      <bottom style="thin">
        <color indexed="23"/>
      </bottom>
      <diagonal/>
    </border>
    <border>
      <left style="medium">
        <color indexed="64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medium">
        <color indexed="64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thin">
        <color indexed="23"/>
      </left>
      <right style="medium">
        <color indexed="64"/>
      </right>
      <top style="thin">
        <color indexed="2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23"/>
      </right>
      <top style="thin">
        <color indexed="23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4" borderId="0" applyNumberFormat="0" applyBorder="0" applyAlignment="0" applyProtection="0"/>
    <xf numFmtId="0" fontId="5" fillId="16" borderId="1" applyNumberFormat="0" applyAlignment="0" applyProtection="0"/>
    <xf numFmtId="0" fontId="6" fillId="1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1" borderId="0" applyNumberFormat="0" applyBorder="0" applyAlignment="0" applyProtection="0"/>
    <xf numFmtId="0" fontId="9" fillId="7" borderId="1" applyNumberFormat="0" applyAlignment="0" applyProtection="0"/>
    <xf numFmtId="0" fontId="10" fillId="3" borderId="0" applyNumberFormat="0" applyBorder="0" applyAlignment="0" applyProtection="0"/>
    <xf numFmtId="0" fontId="11" fillId="22" borderId="0" applyNumberFormat="0" applyBorder="0" applyAlignment="0" applyProtection="0"/>
    <xf numFmtId="0" fontId="12" fillId="23" borderId="4" applyNumberFormat="0" applyFont="0" applyAlignment="0" applyProtection="0"/>
    <xf numFmtId="0" fontId="13" fillId="16" borderId="5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8" fillId="0" borderId="8" applyNumberFormat="0" applyFill="0" applyAlignment="0" applyProtection="0"/>
    <xf numFmtId="0" fontId="19" fillId="0" borderId="9" applyNumberFormat="0" applyFill="0" applyAlignment="0" applyProtection="0"/>
  </cellStyleXfs>
  <cellXfs count="123">
    <xf numFmtId="0" fontId="0" fillId="0" borderId="0" xfId="0"/>
    <xf numFmtId="0" fontId="0" fillId="0" borderId="10" xfId="0" applyBorder="1"/>
    <xf numFmtId="0" fontId="0" fillId="0" borderId="1" xfId="0" applyBorder="1"/>
    <xf numFmtId="0" fontId="1" fillId="0" borderId="10" xfId="0" applyFont="1" applyBorder="1"/>
    <xf numFmtId="3" fontId="20" fillId="0" borderId="10" xfId="0" applyNumberFormat="1" applyFont="1" applyFill="1" applyBorder="1" applyAlignment="1">
      <alignment horizontal="center"/>
    </xf>
    <xf numFmtId="0" fontId="0" fillId="0" borderId="11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20" fillId="0" borderId="10" xfId="0" applyFont="1" applyBorder="1" applyAlignment="1">
      <alignment horizontal="center"/>
    </xf>
    <xf numFmtId="4" fontId="0" fillId="0" borderId="10" xfId="0" applyNumberFormat="1" applyBorder="1"/>
    <xf numFmtId="2" fontId="0" fillId="0" borderId="10" xfId="0" applyNumberFormat="1" applyBorder="1"/>
    <xf numFmtId="17" fontId="0" fillId="0" borderId="10" xfId="0" applyNumberFormat="1" applyBorder="1"/>
    <xf numFmtId="4" fontId="1" fillId="0" borderId="10" xfId="0" applyNumberFormat="1" applyFont="1" applyBorder="1"/>
    <xf numFmtId="17" fontId="12" fillId="0" borderId="10" xfId="0" applyNumberFormat="1" applyFont="1" applyBorder="1"/>
    <xf numFmtId="0" fontId="12" fillId="0" borderId="10" xfId="0" applyFont="1" applyBorder="1"/>
    <xf numFmtId="1" fontId="20" fillId="25" borderId="10" xfId="0" applyNumberFormat="1" applyFont="1" applyFill="1" applyBorder="1" applyAlignment="1">
      <alignment horizontal="center"/>
    </xf>
    <xf numFmtId="0" fontId="0" fillId="0" borderId="12" xfId="0" applyBorder="1"/>
    <xf numFmtId="2" fontId="0" fillId="0" borderId="13" xfId="0" applyNumberFormat="1" applyBorder="1"/>
    <xf numFmtId="0" fontId="0" fillId="0" borderId="13" xfId="0" applyBorder="1" applyAlignment="1">
      <alignment horizontal="right"/>
    </xf>
    <xf numFmtId="0" fontId="0" fillId="0" borderId="15" xfId="0" applyBorder="1"/>
    <xf numFmtId="0" fontId="0" fillId="0" borderId="1" xfId="0" applyBorder="1" applyAlignment="1">
      <alignment horizontal="right"/>
    </xf>
    <xf numFmtId="0" fontId="0" fillId="0" borderId="20" xfId="0" applyBorder="1"/>
    <xf numFmtId="165" fontId="21" fillId="0" borderId="0" xfId="0" applyNumberFormat="1" applyFont="1"/>
    <xf numFmtId="9" fontId="21" fillId="0" borderId="0" xfId="0" applyNumberFormat="1" applyFont="1"/>
    <xf numFmtId="165" fontId="21" fillId="26" borderId="0" xfId="0" applyNumberFormat="1" applyFont="1" applyFill="1"/>
    <xf numFmtId="9" fontId="21" fillId="26" borderId="0" xfId="0" applyNumberFormat="1" applyFont="1" applyFill="1"/>
    <xf numFmtId="0" fontId="22" fillId="0" borderId="0" xfId="0" applyFont="1"/>
    <xf numFmtId="9" fontId="21" fillId="0" borderId="0" xfId="0" applyNumberFormat="1" applyFont="1" applyFill="1"/>
    <xf numFmtId="0" fontId="23" fillId="0" borderId="0" xfId="0" applyFont="1"/>
    <xf numFmtId="0" fontId="24" fillId="0" borderId="0" xfId="0" applyFont="1"/>
    <xf numFmtId="165" fontId="21" fillId="0" borderId="0" xfId="0" applyNumberFormat="1" applyFont="1" applyAlignment="1"/>
    <xf numFmtId="167" fontId="0" fillId="0" borderId="10" xfId="0" applyNumberFormat="1" applyBorder="1"/>
    <xf numFmtId="3" fontId="0" fillId="0" borderId="10" xfId="0" applyNumberFormat="1" applyBorder="1"/>
    <xf numFmtId="0" fontId="0" fillId="25" borderId="10" xfId="0" applyFill="1" applyBorder="1"/>
    <xf numFmtId="2" fontId="1" fillId="0" borderId="10" xfId="0" applyNumberFormat="1" applyFont="1" applyBorder="1"/>
    <xf numFmtId="3" fontId="1" fillId="0" borderId="10" xfId="0" applyNumberFormat="1" applyFont="1" applyBorder="1"/>
    <xf numFmtId="0" fontId="0" fillId="0" borderId="25" xfId="0" applyBorder="1"/>
    <xf numFmtId="0" fontId="0" fillId="0" borderId="26" xfId="0" applyBorder="1"/>
    <xf numFmtId="0" fontId="1" fillId="0" borderId="19" xfId="0" applyFont="1" applyBorder="1"/>
    <xf numFmtId="0" fontId="0" fillId="0" borderId="19" xfId="0" applyBorder="1"/>
    <xf numFmtId="0" fontId="1" fillId="0" borderId="19" xfId="0" applyFont="1" applyBorder="1" applyAlignment="1">
      <alignment horizontal="right"/>
    </xf>
    <xf numFmtId="0" fontId="0" fillId="0" borderId="27" xfId="0" applyBorder="1"/>
    <xf numFmtId="0" fontId="1" fillId="0" borderId="28" xfId="0" applyFont="1" applyBorder="1"/>
    <xf numFmtId="0" fontId="1" fillId="0" borderId="29" xfId="0" applyFont="1" applyBorder="1"/>
    <xf numFmtId="0" fontId="12" fillId="0" borderId="30" xfId="0" applyFont="1" applyBorder="1"/>
    <xf numFmtId="2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2" fontId="0" fillId="0" borderId="27" xfId="0" applyNumberFormat="1" applyBorder="1"/>
    <xf numFmtId="2" fontId="0" fillId="0" borderId="37" xfId="0" applyNumberFormat="1" applyBorder="1"/>
    <xf numFmtId="0" fontId="1" fillId="0" borderId="38" xfId="0" applyFont="1" applyBorder="1"/>
    <xf numFmtId="0" fontId="1" fillId="0" borderId="39" xfId="0" applyFont="1" applyBorder="1"/>
    <xf numFmtId="0" fontId="0" fillId="0" borderId="39" xfId="0" applyBorder="1"/>
    <xf numFmtId="0" fontId="12" fillId="0" borderId="40" xfId="0" applyFont="1" applyBorder="1"/>
    <xf numFmtId="0" fontId="1" fillId="0" borderId="26" xfId="0" applyFont="1" applyBorder="1"/>
    <xf numFmtId="17" fontId="12" fillId="0" borderId="27" xfId="0" applyNumberFormat="1" applyFont="1" applyBorder="1"/>
    <xf numFmtId="1" fontId="20" fillId="25" borderId="27" xfId="0" applyNumberFormat="1" applyFont="1" applyFill="1" applyBorder="1" applyAlignment="1">
      <alignment horizontal="center"/>
    </xf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17" fontId="12" fillId="0" borderId="31" xfId="0" applyNumberFormat="1" applyFont="1" applyBorder="1"/>
    <xf numFmtId="1" fontId="20" fillId="25" borderId="32" xfId="0" applyNumberFormat="1" applyFont="1" applyFill="1" applyBorder="1" applyAlignment="1">
      <alignment horizontal="center"/>
    </xf>
    <xf numFmtId="17" fontId="12" fillId="0" borderId="33" xfId="0" applyNumberFormat="1" applyFont="1" applyBorder="1"/>
    <xf numFmtId="3" fontId="20" fillId="0" borderId="34" xfId="0" applyNumberFormat="1" applyFont="1" applyFill="1" applyBorder="1" applyAlignment="1">
      <alignment horizontal="center"/>
    </xf>
    <xf numFmtId="1" fontId="20" fillId="25" borderId="34" xfId="0" applyNumberFormat="1" applyFont="1" applyFill="1" applyBorder="1" applyAlignment="1">
      <alignment horizontal="center"/>
    </xf>
    <xf numFmtId="1" fontId="20" fillId="25" borderId="35" xfId="0" applyNumberFormat="1" applyFont="1" applyFill="1" applyBorder="1" applyAlignment="1">
      <alignment horizontal="center"/>
    </xf>
    <xf numFmtId="17" fontId="12" fillId="0" borderId="26" xfId="0" applyNumberFormat="1" applyFont="1" applyBorder="1"/>
    <xf numFmtId="4" fontId="0" fillId="0" borderId="27" xfId="0" applyNumberFormat="1" applyBorder="1"/>
    <xf numFmtId="0" fontId="0" fillId="0" borderId="30" xfId="0" applyBorder="1"/>
    <xf numFmtId="0" fontId="0" fillId="0" borderId="32" xfId="0" applyBorder="1"/>
    <xf numFmtId="167" fontId="0" fillId="0" borderId="31" xfId="0" applyNumberFormat="1" applyBorder="1"/>
    <xf numFmtId="4" fontId="0" fillId="0" borderId="32" xfId="0" applyNumberFormat="1" applyBorder="1"/>
    <xf numFmtId="167" fontId="0" fillId="0" borderId="33" xfId="0" applyNumberFormat="1" applyBorder="1"/>
    <xf numFmtId="167" fontId="0" fillId="0" borderId="34" xfId="0" applyNumberFormat="1" applyBorder="1"/>
    <xf numFmtId="4" fontId="0" fillId="0" borderId="34" xfId="0" applyNumberFormat="1" applyBorder="1"/>
    <xf numFmtId="4" fontId="0" fillId="0" borderId="35" xfId="0" applyNumberFormat="1" applyBorder="1"/>
    <xf numFmtId="4" fontId="0" fillId="0" borderId="41" xfId="0" applyNumberFormat="1" applyBorder="1"/>
    <xf numFmtId="0" fontId="0" fillId="0" borderId="41" xfId="0" applyBorder="1"/>
    <xf numFmtId="4" fontId="1" fillId="0" borderId="27" xfId="0" applyNumberFormat="1" applyFont="1" applyBorder="1"/>
    <xf numFmtId="4" fontId="1" fillId="0" borderId="38" xfId="0" applyNumberFormat="1" applyFont="1" applyBorder="1"/>
    <xf numFmtId="4" fontId="1" fillId="0" borderId="39" xfId="0" applyNumberFormat="1" applyFont="1" applyBorder="1"/>
    <xf numFmtId="4" fontId="1" fillId="0" borderId="39" xfId="0" applyNumberFormat="1" applyFont="1" applyFill="1" applyBorder="1"/>
    <xf numFmtId="4" fontId="1" fillId="25" borderId="39" xfId="0" applyNumberFormat="1" applyFont="1" applyFill="1" applyBorder="1"/>
    <xf numFmtId="4" fontId="1" fillId="26" borderId="40" xfId="0" applyNumberFormat="1" applyFont="1" applyFill="1" applyBorder="1"/>
    <xf numFmtId="0" fontId="0" fillId="25" borderId="26" xfId="0" applyFill="1" applyBorder="1"/>
    <xf numFmtId="3" fontId="20" fillId="0" borderId="41" xfId="0" applyNumberFormat="1" applyFont="1" applyFill="1" applyBorder="1" applyAlignment="1">
      <alignment horizontal="center"/>
    </xf>
    <xf numFmtId="0" fontId="20" fillId="0" borderId="41" xfId="0" applyFont="1" applyBorder="1" applyAlignment="1">
      <alignment horizontal="center"/>
    </xf>
    <xf numFmtId="3" fontId="0" fillId="0" borderId="27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0" fontId="12" fillId="0" borderId="29" xfId="0" applyFont="1" applyBorder="1"/>
    <xf numFmtId="0" fontId="0" fillId="0" borderId="33" xfId="0" applyBorder="1"/>
    <xf numFmtId="0" fontId="0" fillId="0" borderId="34" xfId="0" applyBorder="1"/>
    <xf numFmtId="165" fontId="21" fillId="0" borderId="34" xfId="0" applyNumberFormat="1" applyFont="1" applyBorder="1"/>
    <xf numFmtId="165" fontId="21" fillId="0" borderId="35" xfId="0" applyNumberFormat="1" applyFont="1" applyBorder="1"/>
    <xf numFmtId="1" fontId="0" fillId="24" borderId="1" xfId="0" applyNumberFormat="1" applyFill="1" applyBorder="1"/>
    <xf numFmtId="1" fontId="20" fillId="24" borderId="1" xfId="0" applyNumberFormat="1" applyFont="1" applyFill="1" applyBorder="1"/>
    <xf numFmtId="164" fontId="0" fillId="0" borderId="14" xfId="0" applyNumberFormat="1" applyBorder="1"/>
    <xf numFmtId="164" fontId="0" fillId="0" borderId="16" xfId="0" applyNumberFormat="1" applyBorder="1"/>
    <xf numFmtId="167" fontId="0" fillId="0" borderId="17" xfId="0" applyNumberFormat="1" applyBorder="1"/>
    <xf numFmtId="17" fontId="12" fillId="0" borderId="25" xfId="0" applyNumberFormat="1" applyFont="1" applyBorder="1"/>
    <xf numFmtId="0" fontId="12" fillId="0" borderId="21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42" xfId="0" applyFont="1" applyBorder="1" applyAlignment="1">
      <alignment horizontal="center"/>
    </xf>
    <xf numFmtId="0" fontId="1" fillId="0" borderId="40" xfId="0" applyFont="1" applyBorder="1"/>
    <xf numFmtId="3" fontId="12" fillId="0" borderId="10" xfId="0" applyNumberFormat="1" applyFont="1" applyBorder="1"/>
    <xf numFmtId="0" fontId="1" fillId="0" borderId="43" xfId="0" applyFont="1" applyBorder="1"/>
    <xf numFmtId="0" fontId="1" fillId="0" borderId="44" xfId="0" applyFont="1" applyBorder="1"/>
    <xf numFmtId="17" fontId="12" fillId="0" borderId="44" xfId="0" applyNumberFormat="1" applyFont="1" applyBorder="1"/>
    <xf numFmtId="17" fontId="12" fillId="0" borderId="45" xfId="0" applyNumberFormat="1" applyFont="1" applyBorder="1"/>
    <xf numFmtId="4" fontId="0" fillId="0" borderId="26" xfId="0" applyNumberFormat="1" applyBorder="1"/>
    <xf numFmtId="4" fontId="0" fillId="0" borderId="31" xfId="0" applyNumberFormat="1" applyBorder="1"/>
    <xf numFmtId="4" fontId="0" fillId="0" borderId="33" xfId="0" applyNumberFormat="1" applyBorder="1"/>
    <xf numFmtId="0" fontId="0" fillId="0" borderId="46" xfId="0" applyBorder="1"/>
    <xf numFmtId="4" fontId="0" fillId="0" borderId="47" xfId="0" applyNumberFormat="1" applyBorder="1"/>
    <xf numFmtId="4" fontId="0" fillId="0" borderId="48" xfId="0" applyNumberFormat="1" applyBorder="1"/>
    <xf numFmtId="0" fontId="12" fillId="0" borderId="24" xfId="0" applyFont="1" applyBorder="1" applyAlignment="1">
      <alignment horizontal="center"/>
    </xf>
    <xf numFmtId="0" fontId="12" fillId="0" borderId="23" xfId="0" applyFont="1" applyBorder="1" applyAlignment="1">
      <alignment horizontal="center"/>
    </xf>
  </cellXfs>
  <cellStyles count="4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Neutral" xfId="32" builtinId="28" customBuiltin="1"/>
    <cellStyle name="Normal" xfId="0" builtinId="0"/>
    <cellStyle name="Notas" xfId="33" builtinId="10" customBuiltin="1"/>
    <cellStyle name="Salida" xfId="34" builtinId="21" customBuiltin="1"/>
    <cellStyle name="Texto de advertencia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otal" xfId="41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v>Ahorro mensual</c:v>
          </c:tx>
          <c:cat>
            <c:strRef>
              <c:f>OPTIMIZADO!$B$43:$B$54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OPTIMIZADO!$I$43:$I$54</c:f>
              <c:numCache>
                <c:formatCode>#,##0.00</c:formatCode>
                <c:ptCount val="12"/>
                <c:pt idx="0">
                  <c:v>-49.031968137070976</c:v>
                </c:pt>
                <c:pt idx="1">
                  <c:v>-2.6077856949599436</c:v>
                </c:pt>
                <c:pt idx="2">
                  <c:v>27.046754607574371</c:v>
                </c:pt>
                <c:pt idx="3">
                  <c:v>68.136827105077828</c:v>
                </c:pt>
                <c:pt idx="4">
                  <c:v>533.20046536518498</c:v>
                </c:pt>
                <c:pt idx="5">
                  <c:v>552.20704676635796</c:v>
                </c:pt>
                <c:pt idx="6">
                  <c:v>506.10121511310308</c:v>
                </c:pt>
                <c:pt idx="7">
                  <c:v>403.60741610619039</c:v>
                </c:pt>
                <c:pt idx="8">
                  <c:v>492.37456430593352</c:v>
                </c:pt>
                <c:pt idx="9">
                  <c:v>52.848672386738599</c:v>
                </c:pt>
                <c:pt idx="10">
                  <c:v>28.218509033092857</c:v>
                </c:pt>
                <c:pt idx="11">
                  <c:v>8.9136404266204181</c:v>
                </c:pt>
              </c:numCache>
            </c:numRef>
          </c:val>
        </c:ser>
        <c:axId val="116364416"/>
        <c:axId val="126294272"/>
      </c:barChart>
      <c:catAx>
        <c:axId val="116364416"/>
        <c:scaling>
          <c:orientation val="minMax"/>
        </c:scaling>
        <c:axPos val="b"/>
        <c:tickLblPos val="nextTo"/>
        <c:crossAx val="126294272"/>
        <c:crosses val="autoZero"/>
        <c:auto val="1"/>
        <c:lblAlgn val="ctr"/>
        <c:lblOffset val="100"/>
      </c:catAx>
      <c:valAx>
        <c:axId val="126294272"/>
        <c:scaling>
          <c:orientation val="minMax"/>
        </c:scaling>
        <c:axPos val="l"/>
        <c:majorGridlines/>
        <c:numFmt formatCode="#,##0.00" sourceLinked="1"/>
        <c:tickLblPos val="nextTo"/>
        <c:crossAx val="116364416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404812</xdr:colOff>
      <xdr:row>37</xdr:row>
      <xdr:rowOff>130968</xdr:rowOff>
    </xdr:from>
    <xdr:to>
      <xdr:col>15</xdr:col>
      <xdr:colOff>119062</xdr:colOff>
      <xdr:row>54</xdr:row>
      <xdr:rowOff>35719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58"/>
  <sheetViews>
    <sheetView zoomScale="80" zoomScaleNormal="80" workbookViewId="0">
      <selection activeCell="B2" sqref="B2"/>
    </sheetView>
  </sheetViews>
  <sheetFormatPr baseColWidth="10" defaultRowHeight="12.75"/>
  <cols>
    <col min="1" max="2" width="11.42578125" style="1"/>
    <col min="3" max="3" width="14.140625" style="1" customWidth="1"/>
    <col min="4" max="4" width="11.5703125" style="1" bestFit="1" customWidth="1"/>
    <col min="5" max="5" width="11.42578125" style="1"/>
    <col min="6" max="6" width="10.42578125" style="1" bestFit="1" customWidth="1"/>
    <col min="7" max="7" width="13" style="1" bestFit="1" customWidth="1"/>
    <col min="8" max="8" width="14.5703125" style="1" bestFit="1" customWidth="1"/>
    <col min="9" max="9" width="17" style="1" bestFit="1" customWidth="1"/>
    <col min="10" max="10" width="14.5703125" style="1" bestFit="1" customWidth="1"/>
    <col min="11" max="11" width="11.5703125" style="1" bestFit="1" customWidth="1"/>
    <col min="12" max="12" width="12.42578125" style="1" customWidth="1"/>
    <col min="13" max="13" width="11.5703125" style="1" bestFit="1" customWidth="1"/>
    <col min="14" max="14" width="14.85546875" style="1" customWidth="1"/>
    <col min="15" max="15" width="22.28515625" style="1" customWidth="1"/>
    <col min="16" max="17" width="11.42578125" style="1"/>
    <col min="18" max="18" width="19" style="1" bestFit="1" customWidth="1"/>
    <col min="19" max="16384" width="11.42578125" style="1"/>
  </cols>
  <sheetData>
    <row r="1" spans="1:39">
      <c r="A1" s="37"/>
      <c r="B1" s="43" t="s">
        <v>54</v>
      </c>
      <c r="C1" s="44" t="s">
        <v>0</v>
      </c>
      <c r="D1" s="44" t="s">
        <v>1</v>
      </c>
      <c r="E1" s="44" t="s">
        <v>2</v>
      </c>
      <c r="F1" s="44" t="s">
        <v>3</v>
      </c>
      <c r="G1" s="44" t="s">
        <v>4</v>
      </c>
      <c r="H1" s="44" t="s">
        <v>94</v>
      </c>
      <c r="I1" s="44" t="s">
        <v>95</v>
      </c>
      <c r="J1" s="44" t="s">
        <v>96</v>
      </c>
      <c r="K1" s="44" t="s">
        <v>97</v>
      </c>
      <c r="L1" s="44" t="s">
        <v>98</v>
      </c>
      <c r="M1" s="44" t="s">
        <v>99</v>
      </c>
      <c r="N1" s="95" t="s">
        <v>62</v>
      </c>
      <c r="O1" s="45" t="s">
        <v>61</v>
      </c>
      <c r="P1" s="38"/>
    </row>
    <row r="2" spans="1:39" ht="13.5" thickBot="1">
      <c r="A2" s="37"/>
      <c r="B2" s="96">
        <v>24</v>
      </c>
      <c r="C2" s="97" t="str">
        <f>LOOKUP(B2,Tarifas!$A$2:$A$27,Tarifas!$K$2:$K$27)</f>
        <v>3.0A</v>
      </c>
      <c r="D2" s="97">
        <v>40</v>
      </c>
      <c r="E2" s="97">
        <v>40</v>
      </c>
      <c r="F2" s="97">
        <v>40</v>
      </c>
      <c r="G2" s="97" t="s">
        <v>5</v>
      </c>
      <c r="H2" s="98">
        <f>LOOKUP($B$2,Tarifas!$A$2:$A$27,Tarifas!F2:F27)</f>
        <v>32.768838000000002</v>
      </c>
      <c r="I2" s="98">
        <f>LOOKUP($B$2,Tarifas!$A$2:$A$27,Tarifas!G2:G27)</f>
        <v>32.768838000000002</v>
      </c>
      <c r="J2" s="98">
        <f>LOOKUP($B$2,Tarifas!$A$2:$A$27,Tarifas!H2:H27)</f>
        <v>32.768838000000002</v>
      </c>
      <c r="K2" s="98">
        <f>LOOKUP($B$2,Tarifas!$A$2:$A$27,Tarifas!C2:C27)</f>
        <v>0.177347</v>
      </c>
      <c r="L2" s="98">
        <f>LOOKUP($B$2,Tarifas!$A$2:$A$27,Tarifas!D2:D27)</f>
        <v>0.13533500000000001</v>
      </c>
      <c r="M2" s="98">
        <f>LOOKUP($B$2,Tarifas!$A$2:$A$27,Tarifas!E2:E27)</f>
        <v>8.1688999999999998E-2</v>
      </c>
      <c r="N2" s="98">
        <f>LOOKUP($B$2,Tarifas!$A$2:$A$27,Tarifas!J2:J27)</f>
        <v>0</v>
      </c>
      <c r="O2" s="99">
        <f>LOOKUP($B$2,Tarifas!$A$2:$A$27,Tarifas!I2:I27)</f>
        <v>0</v>
      </c>
      <c r="P2" s="38"/>
      <c r="AB2" s="15"/>
    </row>
    <row r="3" spans="1:39" ht="13.5" thickBot="1"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40"/>
      <c r="Q3" s="40"/>
      <c r="R3" s="40"/>
      <c r="S3" s="40"/>
      <c r="T3" s="40"/>
      <c r="U3" s="40"/>
      <c r="V3" s="40"/>
      <c r="W3" s="40"/>
      <c r="X3" s="40"/>
      <c r="Y3" s="39"/>
    </row>
    <row r="4" spans="1:39">
      <c r="A4" s="37"/>
      <c r="B4" s="43" t="s">
        <v>6</v>
      </c>
      <c r="C4" s="44" t="s">
        <v>18</v>
      </c>
      <c r="D4" s="44" t="s">
        <v>20</v>
      </c>
      <c r="E4" s="44" t="s">
        <v>21</v>
      </c>
      <c r="F4" s="44" t="s">
        <v>22</v>
      </c>
      <c r="G4" s="44" t="s">
        <v>23</v>
      </c>
      <c r="H4" s="44" t="s">
        <v>24</v>
      </c>
      <c r="I4" s="44" t="s">
        <v>25</v>
      </c>
      <c r="J4" s="44" t="s">
        <v>27</v>
      </c>
      <c r="K4" s="44" t="s">
        <v>29</v>
      </c>
      <c r="L4" s="61" t="s">
        <v>30</v>
      </c>
      <c r="M4" s="43" t="s">
        <v>81</v>
      </c>
      <c r="N4" s="44" t="s">
        <v>83</v>
      </c>
      <c r="O4" s="44" t="s">
        <v>82</v>
      </c>
      <c r="P4" s="44" t="s">
        <v>31</v>
      </c>
      <c r="Q4" s="44" t="s">
        <v>33</v>
      </c>
      <c r="R4" s="44" t="s">
        <v>34</v>
      </c>
      <c r="S4" s="44" t="s">
        <v>42</v>
      </c>
      <c r="T4" s="44" t="s">
        <v>43</v>
      </c>
      <c r="U4" s="44" t="s">
        <v>51</v>
      </c>
      <c r="V4" s="44" t="s">
        <v>44</v>
      </c>
      <c r="W4" s="44" t="s">
        <v>45</v>
      </c>
      <c r="X4" s="72" t="s">
        <v>46</v>
      </c>
      <c r="Y4" s="38"/>
      <c r="AE4" s="12"/>
      <c r="AL4" s="1" t="s">
        <v>52</v>
      </c>
      <c r="AM4" s="1" t="s">
        <v>53</v>
      </c>
    </row>
    <row r="5" spans="1:39">
      <c r="A5" s="37"/>
      <c r="B5" s="62" t="s">
        <v>7</v>
      </c>
      <c r="C5" s="3" t="s">
        <v>19</v>
      </c>
      <c r="D5" s="3" t="s">
        <v>19</v>
      </c>
      <c r="E5" s="3" t="s">
        <v>19</v>
      </c>
      <c r="F5" s="3" t="s">
        <v>19</v>
      </c>
      <c r="G5" s="3" t="s">
        <v>26</v>
      </c>
      <c r="H5" s="3" t="s">
        <v>26</v>
      </c>
      <c r="I5" s="3" t="s">
        <v>26</v>
      </c>
      <c r="J5" s="3" t="s">
        <v>28</v>
      </c>
      <c r="K5" s="3" t="s">
        <v>28</v>
      </c>
      <c r="L5" s="63" t="s">
        <v>28</v>
      </c>
      <c r="M5" s="62" t="s">
        <v>32</v>
      </c>
      <c r="N5" s="3" t="s">
        <v>32</v>
      </c>
      <c r="O5" s="3" t="s">
        <v>32</v>
      </c>
      <c r="P5" s="3" t="s">
        <v>32</v>
      </c>
      <c r="Q5" s="3" t="s">
        <v>32</v>
      </c>
      <c r="R5" s="3" t="s">
        <v>32</v>
      </c>
      <c r="S5" s="3" t="s">
        <v>32</v>
      </c>
      <c r="T5" s="3" t="s">
        <v>32</v>
      </c>
      <c r="U5" s="3" t="s">
        <v>32</v>
      </c>
      <c r="V5" s="3" t="s">
        <v>32</v>
      </c>
      <c r="W5" s="3" t="s">
        <v>32</v>
      </c>
      <c r="X5" s="73" t="s">
        <v>32</v>
      </c>
      <c r="Y5" s="38"/>
      <c r="AL5" s="1">
        <v>86.176000000000002</v>
      </c>
      <c r="AM5" s="1">
        <f>26+24+19</f>
        <v>69</v>
      </c>
    </row>
    <row r="6" spans="1:39">
      <c r="A6" s="37"/>
      <c r="B6" s="64" t="s">
        <v>48</v>
      </c>
      <c r="C6" s="9">
        <f>9.32+7.68</f>
        <v>17</v>
      </c>
      <c r="D6" s="9">
        <f>30.16+24.84</f>
        <v>55</v>
      </c>
      <c r="E6" s="9">
        <f>15.35+12.65</f>
        <v>28</v>
      </c>
      <c r="F6" s="4">
        <f>C6+D6+E6</f>
        <v>100</v>
      </c>
      <c r="G6" s="16">
        <v>0</v>
      </c>
      <c r="H6" s="16">
        <v>0</v>
      </c>
      <c r="I6" s="16">
        <v>0</v>
      </c>
      <c r="J6" s="16">
        <v>36</v>
      </c>
      <c r="K6" s="16">
        <v>40</v>
      </c>
      <c r="L6" s="65">
        <v>30</v>
      </c>
      <c r="M6" s="74">
        <f>IF(J6&lt;$D$2*0.85,$D$2*0.85,IF(J6&gt;$D$2*1.05,J6+2*(J6-$D$2*1.05),J6))</f>
        <v>36</v>
      </c>
      <c r="N6" s="32">
        <f>IF(K6&lt;$E$2*0.85,$E$2*0.85,IF(K6&gt;$E$2*1.05,K6+2*(K6-$E$2*1.05),K6))</f>
        <v>40</v>
      </c>
      <c r="O6" s="32">
        <f>IF(L6&lt;$F$2*0.85,$F$2*0.85,IF(L6&gt;$F$2*1.05,L6+2*(L6-$F$2*1.05),L6))</f>
        <v>34</v>
      </c>
      <c r="P6" s="10">
        <f>(M6*$H$2/12+N6*$I$2/12+O6*$J$2/12)*(1-$N$2)</f>
        <v>300.38101499999999</v>
      </c>
      <c r="Q6" s="10">
        <f>(C6*$K$2+D6*$L$2+E6*$M$2)*(1-$O$2)</f>
        <v>12.745616000000002</v>
      </c>
      <c r="R6" s="10">
        <f>I24</f>
        <v>0</v>
      </c>
      <c r="S6" s="10">
        <f>1.05113*4.864/100*(P6+Q6+R6)</f>
        <v>16.009213740076977</v>
      </c>
      <c r="T6" s="10">
        <v>12</v>
      </c>
      <c r="U6" s="10">
        <v>0</v>
      </c>
      <c r="V6" s="10">
        <f>P6+Q6+R6+S6+T6+U6</f>
        <v>341.13584474007695</v>
      </c>
      <c r="W6" s="10">
        <f>0.21*V6</f>
        <v>71.638527395416162</v>
      </c>
      <c r="X6" s="75">
        <f>V6+W6</f>
        <v>412.77437213549308</v>
      </c>
      <c r="Y6" s="70"/>
      <c r="AB6" s="15"/>
      <c r="AL6" s="1">
        <v>79.176000000000002</v>
      </c>
      <c r="AM6" s="1">
        <v>67.8</v>
      </c>
    </row>
    <row r="7" spans="1:39">
      <c r="A7" s="37"/>
      <c r="B7" s="64" t="s">
        <v>8</v>
      </c>
      <c r="C7" s="9">
        <v>6.8</v>
      </c>
      <c r="D7" s="9">
        <v>22</v>
      </c>
      <c r="E7" s="9">
        <v>11.2</v>
      </c>
      <c r="F7" s="4">
        <f t="shared" ref="F7:F17" si="0">C7+D7+E7</f>
        <v>40</v>
      </c>
      <c r="G7" s="16">
        <v>0</v>
      </c>
      <c r="H7" s="16">
        <v>0</v>
      </c>
      <c r="I7" s="16">
        <v>0</v>
      </c>
      <c r="J7" s="16">
        <v>33</v>
      </c>
      <c r="K7" s="16">
        <v>28</v>
      </c>
      <c r="L7" s="65">
        <v>30</v>
      </c>
      <c r="M7" s="74">
        <f t="shared" ref="M7:M17" si="1">IF(J7&lt;$D$2*0.85,$D$2*0.85,IF(J7&gt;$D$2*1.05,J7+2*(J7-$D$2*1.05),J7))</f>
        <v>34</v>
      </c>
      <c r="N7" s="32">
        <f t="shared" ref="N7:N17" si="2">IF(K7&lt;$E$2*0.85,$E$2*0.85,IF(K7&gt;$E$2*1.05,K7+2*(K7-$E$2*1.05),K7))</f>
        <v>34</v>
      </c>
      <c r="O7" s="32">
        <f t="shared" ref="O7:O17" si="3">IF(L7&lt;$F$2*0.85,$F$2*0.85,IF(L7&gt;$F$2*1.05,L7+2*(L7-$F$2*1.05),L7))</f>
        <v>34</v>
      </c>
      <c r="P7" s="10">
        <f t="shared" ref="P7:P17" si="4">(M7*$H$2/12+N7*$I$2/12+O7*$J$2/12)*(1-$N$2)</f>
        <v>278.535123</v>
      </c>
      <c r="Q7" s="10">
        <f t="shared" ref="Q7:Q17" si="5">(C7*$K$2+D7*$L$2+E7*$M$2)*(1-$O$2)</f>
        <v>5.0982464000000007</v>
      </c>
      <c r="R7" s="10">
        <f t="shared" ref="R7:R17" si="6">I25</f>
        <v>0</v>
      </c>
      <c r="S7" s="10">
        <f t="shared" ref="S7:S17" si="7">1.05113*4.864/100*(P7+Q7+R7)</f>
        <v>14.501312839605804</v>
      </c>
      <c r="T7" s="10">
        <f>T6</f>
        <v>12</v>
      </c>
      <c r="U7" s="10">
        <v>0</v>
      </c>
      <c r="V7" s="10">
        <f t="shared" ref="V7:V17" si="8">P7+Q7+R7+S7+T7+U7</f>
        <v>310.13468223960581</v>
      </c>
      <c r="W7" s="10">
        <f t="shared" ref="W7:W17" si="9">0.21*V7</f>
        <v>65.128283270317212</v>
      </c>
      <c r="X7" s="75">
        <f t="shared" ref="X7:X17" si="10">V7+W7</f>
        <v>375.26296550992299</v>
      </c>
      <c r="Y7" s="70"/>
      <c r="AE7" s="12"/>
      <c r="AL7" s="1">
        <v>88.763999999999996</v>
      </c>
      <c r="AM7" s="1">
        <v>71</v>
      </c>
    </row>
    <row r="8" spans="1:39">
      <c r="A8" s="37"/>
      <c r="B8" s="64" t="s">
        <v>9</v>
      </c>
      <c r="C8" s="9">
        <v>1</v>
      </c>
      <c r="D8" s="9">
        <v>1</v>
      </c>
      <c r="E8" s="9">
        <v>1</v>
      </c>
      <c r="F8" s="4">
        <f t="shared" si="0"/>
        <v>3</v>
      </c>
      <c r="G8" s="16">
        <v>0</v>
      </c>
      <c r="H8" s="16">
        <v>0</v>
      </c>
      <c r="I8" s="16">
        <v>0</v>
      </c>
      <c r="J8" s="16">
        <v>23</v>
      </c>
      <c r="K8" s="16">
        <v>30</v>
      </c>
      <c r="L8" s="65">
        <v>31</v>
      </c>
      <c r="M8" s="74">
        <f t="shared" si="1"/>
        <v>34</v>
      </c>
      <c r="N8" s="32">
        <f t="shared" si="2"/>
        <v>34</v>
      </c>
      <c r="O8" s="32">
        <f t="shared" si="3"/>
        <v>34</v>
      </c>
      <c r="P8" s="10">
        <f t="shared" si="4"/>
        <v>278.535123</v>
      </c>
      <c r="Q8" s="10">
        <f t="shared" si="5"/>
        <v>0.39437100000000003</v>
      </c>
      <c r="R8" s="10">
        <f t="shared" si="6"/>
        <v>0</v>
      </c>
      <c r="S8" s="10">
        <f t="shared" si="7"/>
        <v>14.260817975132618</v>
      </c>
      <c r="T8" s="10">
        <f t="shared" ref="T8:T17" si="11">T7</f>
        <v>12</v>
      </c>
      <c r="U8" s="10">
        <v>0</v>
      </c>
      <c r="V8" s="10">
        <f t="shared" si="8"/>
        <v>305.1903119751326</v>
      </c>
      <c r="W8" s="10">
        <f t="shared" si="9"/>
        <v>64.089965514777845</v>
      </c>
      <c r="X8" s="75">
        <f t="shared" si="10"/>
        <v>369.28027748991042</v>
      </c>
      <c r="Y8" s="70"/>
    </row>
    <row r="9" spans="1:39">
      <c r="A9" s="37"/>
      <c r="B9" s="64" t="s">
        <v>10</v>
      </c>
      <c r="C9" s="4">
        <f>97.92+85.88</f>
        <v>183.8</v>
      </c>
      <c r="D9" s="4">
        <f>288+252</f>
        <v>540</v>
      </c>
      <c r="E9" s="4">
        <f>190.08+166.32</f>
        <v>356.4</v>
      </c>
      <c r="F9" s="4">
        <f t="shared" si="0"/>
        <v>1080.1999999999998</v>
      </c>
      <c r="G9" s="16">
        <v>106.85</v>
      </c>
      <c r="H9" s="16">
        <v>323.27999999999997</v>
      </c>
      <c r="I9" s="16">
        <v>0</v>
      </c>
      <c r="J9" s="16">
        <v>28</v>
      </c>
      <c r="K9" s="16">
        <v>39</v>
      </c>
      <c r="L9" s="65">
        <v>22</v>
      </c>
      <c r="M9" s="74">
        <f t="shared" si="1"/>
        <v>34</v>
      </c>
      <c r="N9" s="32">
        <f t="shared" si="2"/>
        <v>39</v>
      </c>
      <c r="O9" s="32">
        <f t="shared" si="3"/>
        <v>34</v>
      </c>
      <c r="P9" s="10">
        <f t="shared" si="4"/>
        <v>292.1888055</v>
      </c>
      <c r="Q9" s="10">
        <f t="shared" si="5"/>
        <v>134.79123819999998</v>
      </c>
      <c r="R9" s="10">
        <f t="shared" si="6"/>
        <v>7.9482829039999983</v>
      </c>
      <c r="S9" s="10">
        <f t="shared" si="7"/>
        <v>22.236564548920285</v>
      </c>
      <c r="T9" s="10">
        <f t="shared" si="11"/>
        <v>12</v>
      </c>
      <c r="U9" s="10">
        <v>0</v>
      </c>
      <c r="V9" s="10">
        <f t="shared" si="8"/>
        <v>469.16489115292029</v>
      </c>
      <c r="W9" s="10">
        <f t="shared" si="9"/>
        <v>98.52462714211326</v>
      </c>
      <c r="X9" s="75">
        <f t="shared" si="10"/>
        <v>567.68951829503351</v>
      </c>
      <c r="Y9" s="70"/>
    </row>
    <row r="10" spans="1:39">
      <c r="A10" s="37"/>
      <c r="B10" s="64" t="s">
        <v>11</v>
      </c>
      <c r="C10" s="4">
        <v>2000</v>
      </c>
      <c r="D10" s="4">
        <v>4256</v>
      </c>
      <c r="E10" s="4">
        <v>4994</v>
      </c>
      <c r="F10" s="4">
        <f t="shared" si="0"/>
        <v>11250</v>
      </c>
      <c r="G10" s="16">
        <v>433.04</v>
      </c>
      <c r="H10" s="16">
        <v>878.11</v>
      </c>
      <c r="I10" s="16">
        <v>0</v>
      </c>
      <c r="J10" s="16">
        <v>27</v>
      </c>
      <c r="K10" s="16">
        <v>35</v>
      </c>
      <c r="L10" s="65">
        <v>39</v>
      </c>
      <c r="M10" s="74">
        <f t="shared" si="1"/>
        <v>34</v>
      </c>
      <c r="N10" s="32">
        <f t="shared" si="2"/>
        <v>35</v>
      </c>
      <c r="O10" s="32">
        <f t="shared" si="3"/>
        <v>39</v>
      </c>
      <c r="P10" s="10">
        <f t="shared" si="4"/>
        <v>294.91954199999998</v>
      </c>
      <c r="Q10" s="10">
        <f t="shared" si="5"/>
        <v>1338.634626</v>
      </c>
      <c r="R10" s="10">
        <f t="shared" si="6"/>
        <v>0</v>
      </c>
      <c r="S10" s="10">
        <f t="shared" si="7"/>
        <v>83.518663832542615</v>
      </c>
      <c r="T10" s="10">
        <f t="shared" si="11"/>
        <v>12</v>
      </c>
      <c r="U10" s="10">
        <v>0</v>
      </c>
      <c r="V10" s="10">
        <f t="shared" si="8"/>
        <v>1729.0728318325428</v>
      </c>
      <c r="W10" s="10">
        <f t="shared" si="9"/>
        <v>363.10529468483395</v>
      </c>
      <c r="X10" s="75">
        <f t="shared" si="10"/>
        <v>2092.1781265173768</v>
      </c>
      <c r="Y10" s="70"/>
    </row>
    <row r="11" spans="1:39">
      <c r="A11" s="37"/>
      <c r="B11" s="64" t="s">
        <v>12</v>
      </c>
      <c r="C11" s="4">
        <v>2138</v>
      </c>
      <c r="D11" s="4">
        <v>4622</v>
      </c>
      <c r="E11" s="4">
        <v>5736</v>
      </c>
      <c r="F11" s="4">
        <f t="shared" si="0"/>
        <v>12496</v>
      </c>
      <c r="G11" s="16">
        <v>419.5</v>
      </c>
      <c r="H11" s="16">
        <v>244.87</v>
      </c>
      <c r="I11" s="16">
        <v>0</v>
      </c>
      <c r="J11" s="16">
        <v>34</v>
      </c>
      <c r="K11" s="16">
        <v>25</v>
      </c>
      <c r="L11" s="65">
        <v>40</v>
      </c>
      <c r="M11" s="74">
        <f t="shared" si="1"/>
        <v>34</v>
      </c>
      <c r="N11" s="32">
        <f t="shared" si="2"/>
        <v>34</v>
      </c>
      <c r="O11" s="32">
        <f t="shared" si="3"/>
        <v>40</v>
      </c>
      <c r="P11" s="10">
        <f t="shared" si="4"/>
        <v>294.91954199999998</v>
      </c>
      <c r="Q11" s="10">
        <f t="shared" si="5"/>
        <v>1473.2543599999999</v>
      </c>
      <c r="R11" s="10">
        <f t="shared" si="6"/>
        <v>0</v>
      </c>
      <c r="S11" s="10">
        <f t="shared" si="7"/>
        <v>90.401362018754398</v>
      </c>
      <c r="T11" s="10">
        <f t="shared" si="11"/>
        <v>12</v>
      </c>
      <c r="U11" s="10">
        <v>0</v>
      </c>
      <c r="V11" s="10">
        <f t="shared" si="8"/>
        <v>1870.5752640187543</v>
      </c>
      <c r="W11" s="10">
        <f t="shared" si="9"/>
        <v>392.82080544393841</v>
      </c>
      <c r="X11" s="75">
        <f t="shared" si="10"/>
        <v>2263.3960694626926</v>
      </c>
      <c r="Y11" s="70"/>
    </row>
    <row r="12" spans="1:39">
      <c r="A12" s="37"/>
      <c r="B12" s="64" t="s">
        <v>13</v>
      </c>
      <c r="C12" s="4">
        <v>2537.6799999999998</v>
      </c>
      <c r="D12" s="4">
        <v>4890</v>
      </c>
      <c r="E12" s="4">
        <v>5742.08</v>
      </c>
      <c r="F12" s="4">
        <f t="shared" si="0"/>
        <v>13169.76</v>
      </c>
      <c r="G12" s="16">
        <v>455.29</v>
      </c>
      <c r="H12" s="16">
        <v>813.66</v>
      </c>
      <c r="I12" s="16">
        <v>0</v>
      </c>
      <c r="J12" s="16">
        <v>40</v>
      </c>
      <c r="K12" s="16">
        <v>24</v>
      </c>
      <c r="L12" s="65">
        <v>25</v>
      </c>
      <c r="M12" s="74">
        <f t="shared" si="1"/>
        <v>40</v>
      </c>
      <c r="N12" s="32">
        <f t="shared" si="2"/>
        <v>34</v>
      </c>
      <c r="O12" s="32">
        <f t="shared" si="3"/>
        <v>34</v>
      </c>
      <c r="P12" s="10">
        <f t="shared" si="4"/>
        <v>294.91954199999998</v>
      </c>
      <c r="Q12" s="10">
        <f t="shared" si="5"/>
        <v>1580.90285808</v>
      </c>
      <c r="R12" s="10">
        <f t="shared" si="6"/>
        <v>0</v>
      </c>
      <c r="S12" s="10">
        <f t="shared" si="7"/>
        <v>95.905102818625835</v>
      </c>
      <c r="T12" s="10">
        <f t="shared" si="11"/>
        <v>12</v>
      </c>
      <c r="U12" s="10">
        <v>0</v>
      </c>
      <c r="V12" s="10">
        <f t="shared" si="8"/>
        <v>1983.727502898626</v>
      </c>
      <c r="W12" s="10">
        <f t="shared" si="9"/>
        <v>416.58277560871142</v>
      </c>
      <c r="X12" s="75">
        <f t="shared" si="10"/>
        <v>2400.3102785073374</v>
      </c>
      <c r="Y12" s="70"/>
    </row>
    <row r="13" spans="1:39">
      <c r="A13" s="37"/>
      <c r="B13" s="64" t="s">
        <v>14</v>
      </c>
      <c r="C13" s="4">
        <f>477.73+1314.26</f>
        <v>1791.99</v>
      </c>
      <c r="D13" s="4">
        <f>134.3+2732.22</f>
        <v>2866.52</v>
      </c>
      <c r="E13" s="4">
        <f>505+2758.22</f>
        <v>3263.22</v>
      </c>
      <c r="F13" s="4">
        <f t="shared" si="0"/>
        <v>7921.73</v>
      </c>
      <c r="G13" s="16">
        <f>91.37+230.38</f>
        <v>321.75</v>
      </c>
      <c r="H13" s="16">
        <f>184+53.49</f>
        <v>237.49</v>
      </c>
      <c r="I13" s="16">
        <v>0</v>
      </c>
      <c r="J13" s="16">
        <v>27</v>
      </c>
      <c r="K13" s="16">
        <v>32</v>
      </c>
      <c r="L13" s="65">
        <v>23</v>
      </c>
      <c r="M13" s="74">
        <f t="shared" si="1"/>
        <v>34</v>
      </c>
      <c r="N13" s="32">
        <f t="shared" si="2"/>
        <v>34</v>
      </c>
      <c r="O13" s="32">
        <f t="shared" si="3"/>
        <v>34</v>
      </c>
      <c r="P13" s="10">
        <f t="shared" si="4"/>
        <v>278.535123</v>
      </c>
      <c r="Q13" s="10">
        <f t="shared" si="5"/>
        <v>972.31371330999991</v>
      </c>
      <c r="R13" s="10">
        <f t="shared" si="6"/>
        <v>0</v>
      </c>
      <c r="S13" s="10">
        <f t="shared" si="7"/>
        <v>63.952102422784186</v>
      </c>
      <c r="T13" s="10">
        <f t="shared" si="11"/>
        <v>12</v>
      </c>
      <c r="U13" s="10">
        <v>0</v>
      </c>
      <c r="V13" s="10">
        <f t="shared" si="8"/>
        <v>1326.8009387327843</v>
      </c>
      <c r="W13" s="10">
        <f t="shared" si="9"/>
        <v>278.62819713388467</v>
      </c>
      <c r="X13" s="75">
        <f t="shared" si="10"/>
        <v>1605.429135866669</v>
      </c>
      <c r="Y13" s="70"/>
      <c r="AA13" s="15"/>
    </row>
    <row r="14" spans="1:39">
      <c r="A14" s="37"/>
      <c r="B14" s="64" t="s">
        <v>15</v>
      </c>
      <c r="C14" s="4">
        <v>2030</v>
      </c>
      <c r="D14" s="4">
        <v>3804</v>
      </c>
      <c r="E14" s="4">
        <v>4101</v>
      </c>
      <c r="F14" s="4">
        <f t="shared" si="0"/>
        <v>9935</v>
      </c>
      <c r="G14" s="16">
        <v>345</v>
      </c>
      <c r="H14" s="16">
        <v>268</v>
      </c>
      <c r="I14" s="16">
        <v>0</v>
      </c>
      <c r="J14" s="16">
        <v>28</v>
      </c>
      <c r="K14" s="16">
        <v>34</v>
      </c>
      <c r="L14" s="65">
        <v>38</v>
      </c>
      <c r="M14" s="74">
        <f t="shared" si="1"/>
        <v>34</v>
      </c>
      <c r="N14" s="32">
        <f t="shared" si="2"/>
        <v>34</v>
      </c>
      <c r="O14" s="32">
        <f t="shared" si="3"/>
        <v>38</v>
      </c>
      <c r="P14" s="10">
        <f t="shared" si="4"/>
        <v>289.45806900000002</v>
      </c>
      <c r="Q14" s="10">
        <f t="shared" si="5"/>
        <v>1209.835339</v>
      </c>
      <c r="R14" s="10">
        <f t="shared" si="6"/>
        <v>0</v>
      </c>
      <c r="S14" s="10">
        <f t="shared" si="7"/>
        <v>76.65431889681858</v>
      </c>
      <c r="T14" s="10">
        <f t="shared" si="11"/>
        <v>12</v>
      </c>
      <c r="U14" s="10">
        <v>0</v>
      </c>
      <c r="V14" s="10">
        <f t="shared" si="8"/>
        <v>1587.9477268968185</v>
      </c>
      <c r="W14" s="10">
        <f t="shared" si="9"/>
        <v>333.46902264833187</v>
      </c>
      <c r="X14" s="75">
        <f t="shared" si="10"/>
        <v>1921.4167495451504</v>
      </c>
      <c r="Y14" s="70"/>
    </row>
    <row r="15" spans="1:39">
      <c r="A15" s="37"/>
      <c r="B15" s="64" t="s">
        <v>49</v>
      </c>
      <c r="C15" s="4">
        <v>234</v>
      </c>
      <c r="D15" s="4">
        <v>468</v>
      </c>
      <c r="E15" s="4">
        <v>343</v>
      </c>
      <c r="F15" s="4">
        <f t="shared" si="0"/>
        <v>1045</v>
      </c>
      <c r="G15" s="16">
        <v>67</v>
      </c>
      <c r="H15" s="16">
        <v>118</v>
      </c>
      <c r="I15" s="16">
        <v>0</v>
      </c>
      <c r="J15" s="16">
        <v>34</v>
      </c>
      <c r="K15" s="16">
        <v>27</v>
      </c>
      <c r="L15" s="65">
        <v>39</v>
      </c>
      <c r="M15" s="74">
        <f t="shared" si="1"/>
        <v>34</v>
      </c>
      <c r="N15" s="32">
        <f t="shared" si="2"/>
        <v>34</v>
      </c>
      <c r="O15" s="32">
        <f t="shared" si="3"/>
        <v>39</v>
      </c>
      <c r="P15" s="10">
        <f t="shared" si="4"/>
        <v>292.1888055</v>
      </c>
      <c r="Q15" s="10">
        <f t="shared" si="5"/>
        <v>132.85530500000002</v>
      </c>
      <c r="R15" s="10">
        <f t="shared" si="6"/>
        <v>0</v>
      </c>
      <c r="S15" s="10">
        <f t="shared" si="7"/>
        <v>21.731214595910231</v>
      </c>
      <c r="T15" s="10">
        <f t="shared" si="11"/>
        <v>12</v>
      </c>
      <c r="U15" s="10">
        <v>0</v>
      </c>
      <c r="V15" s="10">
        <f t="shared" si="8"/>
        <v>458.7753250959102</v>
      </c>
      <c r="W15" s="10">
        <f t="shared" si="9"/>
        <v>96.342818270141137</v>
      </c>
      <c r="X15" s="75">
        <f t="shared" si="10"/>
        <v>555.1181433660513</v>
      </c>
      <c r="Y15" s="70"/>
    </row>
    <row r="16" spans="1:39">
      <c r="A16" s="37"/>
      <c r="B16" s="64" t="s">
        <v>16</v>
      </c>
      <c r="C16" s="4">
        <v>3</v>
      </c>
      <c r="D16" s="4">
        <v>11</v>
      </c>
      <c r="E16" s="4">
        <v>25</v>
      </c>
      <c r="F16" s="4">
        <f t="shared" si="0"/>
        <v>39</v>
      </c>
      <c r="G16" s="16">
        <v>0</v>
      </c>
      <c r="H16" s="16">
        <v>0</v>
      </c>
      <c r="I16" s="16">
        <v>0</v>
      </c>
      <c r="J16" s="16">
        <v>25</v>
      </c>
      <c r="K16" s="16">
        <v>27</v>
      </c>
      <c r="L16" s="65">
        <v>22</v>
      </c>
      <c r="M16" s="74">
        <f t="shared" si="1"/>
        <v>34</v>
      </c>
      <c r="N16" s="32">
        <f t="shared" si="2"/>
        <v>34</v>
      </c>
      <c r="O16" s="32">
        <f t="shared" si="3"/>
        <v>34</v>
      </c>
      <c r="P16" s="10">
        <f t="shared" si="4"/>
        <v>278.535123</v>
      </c>
      <c r="Q16" s="10">
        <f t="shared" si="5"/>
        <v>4.062951</v>
      </c>
      <c r="R16" s="10">
        <f t="shared" si="6"/>
        <v>0</v>
      </c>
      <c r="S16" s="10">
        <f t="shared" si="7"/>
        <v>14.448381329788875</v>
      </c>
      <c r="T16" s="10">
        <f t="shared" si="11"/>
        <v>12</v>
      </c>
      <c r="U16" s="10">
        <v>0</v>
      </c>
      <c r="V16" s="10">
        <f t="shared" si="8"/>
        <v>309.0464553297889</v>
      </c>
      <c r="W16" s="10">
        <f t="shared" si="9"/>
        <v>64.899755619255671</v>
      </c>
      <c r="X16" s="75">
        <f t="shared" si="10"/>
        <v>373.9462109490446</v>
      </c>
      <c r="Y16" s="70"/>
    </row>
    <row r="17" spans="1:41" ht="13.5" thickBot="1">
      <c r="A17" s="37"/>
      <c r="B17" s="66" t="s">
        <v>17</v>
      </c>
      <c r="C17" s="67">
        <v>6</v>
      </c>
      <c r="D17" s="67">
        <v>21</v>
      </c>
      <c r="E17" s="67">
        <v>2</v>
      </c>
      <c r="F17" s="4">
        <f t="shared" si="0"/>
        <v>29</v>
      </c>
      <c r="G17" s="68">
        <v>0</v>
      </c>
      <c r="H17" s="68">
        <v>0</v>
      </c>
      <c r="I17" s="68">
        <v>0</v>
      </c>
      <c r="J17" s="68">
        <v>28</v>
      </c>
      <c r="K17" s="68">
        <v>40</v>
      </c>
      <c r="L17" s="69">
        <v>20</v>
      </c>
      <c r="M17" s="76">
        <f t="shared" si="1"/>
        <v>34</v>
      </c>
      <c r="N17" s="77">
        <f t="shared" si="2"/>
        <v>40</v>
      </c>
      <c r="O17" s="77">
        <f t="shared" si="3"/>
        <v>34</v>
      </c>
      <c r="P17" s="78">
        <f t="shared" si="4"/>
        <v>294.91954199999998</v>
      </c>
      <c r="Q17" s="78">
        <f t="shared" si="5"/>
        <v>4.0694949999999999</v>
      </c>
      <c r="R17" s="78">
        <f t="shared" si="6"/>
        <v>0</v>
      </c>
      <c r="S17" s="78">
        <f t="shared" si="7"/>
        <v>15.286401491902437</v>
      </c>
      <c r="T17" s="78">
        <f t="shared" si="11"/>
        <v>12</v>
      </c>
      <c r="U17" s="78">
        <v>0</v>
      </c>
      <c r="V17" s="78">
        <f t="shared" si="8"/>
        <v>326.27543849190243</v>
      </c>
      <c r="W17" s="78">
        <f t="shared" si="9"/>
        <v>68.517842083299513</v>
      </c>
      <c r="X17" s="79">
        <f t="shared" si="10"/>
        <v>394.79328057520195</v>
      </c>
      <c r="Y17" s="70"/>
    </row>
    <row r="18" spans="1:41" ht="13.5" thickBot="1">
      <c r="B18" s="59"/>
      <c r="C18" s="89"/>
      <c r="D18" s="89"/>
      <c r="E18" s="89"/>
      <c r="F18" s="90"/>
      <c r="G18" s="60"/>
      <c r="H18" s="60"/>
      <c r="I18" s="60"/>
      <c r="J18" s="60"/>
      <c r="K18" s="60"/>
      <c r="L18" s="60"/>
      <c r="M18" s="42"/>
      <c r="N18" s="42"/>
      <c r="O18" s="42"/>
      <c r="P18" s="80"/>
      <c r="Q18" s="80"/>
      <c r="R18" s="80"/>
      <c r="S18" s="80"/>
      <c r="T18" s="80"/>
      <c r="U18" s="80"/>
      <c r="V18" s="80"/>
      <c r="W18" s="80"/>
      <c r="X18" s="81"/>
      <c r="Y18" s="14"/>
    </row>
    <row r="19" spans="1:41" ht="13.5" thickBot="1">
      <c r="B19" s="3" t="s">
        <v>46</v>
      </c>
      <c r="C19" s="92">
        <f>SUM(C6:C17)</f>
        <v>10949.27</v>
      </c>
      <c r="D19" s="93">
        <f>SUM(D6:D17)</f>
        <v>21556.52</v>
      </c>
      <c r="E19" s="93">
        <f>SUM(E6:E17)</f>
        <v>24602.9</v>
      </c>
      <c r="F19" s="94">
        <f>SUM(F6:F17)</f>
        <v>57108.69</v>
      </c>
      <c r="G19" s="88"/>
      <c r="H19" s="34"/>
      <c r="J19" s="15" t="s">
        <v>46</v>
      </c>
      <c r="K19" s="10">
        <f>X19</f>
        <v>13331.595128219886</v>
      </c>
      <c r="L19" s="13"/>
      <c r="O19" s="37"/>
      <c r="P19" s="83">
        <f t="shared" ref="P19:U19" si="12">SUM(P6:P17)</f>
        <v>3468.0353550000009</v>
      </c>
      <c r="Q19" s="84">
        <f t="shared" si="12"/>
        <v>6868.9581189899991</v>
      </c>
      <c r="R19" s="84">
        <f t="shared" si="12"/>
        <v>7.9482829039999983</v>
      </c>
      <c r="S19" s="84">
        <f t="shared" si="12"/>
        <v>528.9054565108629</v>
      </c>
      <c r="T19" s="84">
        <f t="shared" si="12"/>
        <v>144</v>
      </c>
      <c r="U19" s="84">
        <f t="shared" si="12"/>
        <v>0</v>
      </c>
      <c r="V19" s="85">
        <f>SUM(V6:V17)</f>
        <v>11017.847213404864</v>
      </c>
      <c r="W19" s="86">
        <f>SUM(W6:W17)</f>
        <v>2313.747914815021</v>
      </c>
      <c r="X19" s="87">
        <f>SUM(X6:X17)</f>
        <v>13331.595128219886</v>
      </c>
      <c r="Y19" s="38"/>
      <c r="AL19" s="1">
        <f>2*62.118</f>
        <v>124.236</v>
      </c>
      <c r="AM19" s="1">
        <f>AL7+AL19</f>
        <v>213</v>
      </c>
      <c r="AN19" s="1">
        <f>AM19/3</f>
        <v>71</v>
      </c>
      <c r="AO19" s="1">
        <f>AN19/3</f>
        <v>23.666666666666668</v>
      </c>
    </row>
    <row r="20" spans="1:41">
      <c r="B20" s="3" t="s">
        <v>50</v>
      </c>
      <c r="C20" s="91">
        <f>AVERAGE(C6:C17)</f>
        <v>912.43916666666667</v>
      </c>
      <c r="D20" s="91">
        <f>AVERAGE(D6:D17)</f>
        <v>1796.3766666666668</v>
      </c>
      <c r="E20" s="91">
        <f>AVERAGE(E6:E17)</f>
        <v>2050.2416666666668</v>
      </c>
      <c r="F20" s="91">
        <f>AVERAGE(F6:F17)</f>
        <v>4759.0574999999999</v>
      </c>
      <c r="P20" s="82">
        <f>AVERAGE(P6:P17)</f>
        <v>289.00294625000009</v>
      </c>
      <c r="Q20" s="82">
        <f>AVERAGE(Q6:Q17)</f>
        <v>572.41317658249989</v>
      </c>
      <c r="R20" s="82">
        <f>AVERAGE(R6:R17)</f>
        <v>0.66235690866666652</v>
      </c>
      <c r="S20" s="82"/>
      <c r="T20" s="71"/>
      <c r="U20" s="42"/>
      <c r="V20" s="42"/>
      <c r="W20" s="42"/>
      <c r="X20" s="82">
        <f>AVERAGE(X6:X17)</f>
        <v>1110.9662606849904</v>
      </c>
      <c r="Y20" s="13"/>
    </row>
    <row r="22" spans="1:41" ht="13.5" thickBot="1">
      <c r="B22" s="39"/>
      <c r="C22" s="40" t="s">
        <v>35</v>
      </c>
      <c r="D22" s="41"/>
      <c r="E22" s="39"/>
      <c r="F22" s="40"/>
      <c r="G22" s="39"/>
      <c r="H22" s="39"/>
      <c r="I22" s="41"/>
    </row>
    <row r="23" spans="1:41" ht="13.5" thickBot="1">
      <c r="A23" s="37"/>
      <c r="B23" s="54" t="s">
        <v>7</v>
      </c>
      <c r="C23" s="55" t="s">
        <v>36</v>
      </c>
      <c r="D23" s="55" t="s">
        <v>37</v>
      </c>
      <c r="E23" s="55" t="s">
        <v>38</v>
      </c>
      <c r="F23" s="55" t="s">
        <v>39</v>
      </c>
      <c r="G23" s="55" t="s">
        <v>40</v>
      </c>
      <c r="H23" s="55" t="s">
        <v>41</v>
      </c>
      <c r="I23" s="109" t="s">
        <v>100</v>
      </c>
      <c r="J23" s="38"/>
      <c r="L23" s="42"/>
      <c r="M23" s="42"/>
      <c r="N23" s="42"/>
      <c r="O23" s="42"/>
      <c r="P23" s="42"/>
    </row>
    <row r="24" spans="1:41">
      <c r="A24" s="37"/>
      <c r="B24" s="51" t="s">
        <v>48</v>
      </c>
      <c r="C24" s="52">
        <f>C6/SQRT(C6^2+G6^2)</f>
        <v>1</v>
      </c>
      <c r="D24" s="52">
        <f>G6-0.33*C6</f>
        <v>-5.61</v>
      </c>
      <c r="E24" s="52">
        <f>IF(C24&lt;0.8,D24*0.062332,IF(C24&lt;0.95,D24*0.041554,0))</f>
        <v>0</v>
      </c>
      <c r="F24" s="52">
        <f>D6/SQRT(D6^2+H6^2)</f>
        <v>1</v>
      </c>
      <c r="G24" s="52">
        <f>H6-0.33*D6</f>
        <v>-18.150000000000002</v>
      </c>
      <c r="H24" s="52">
        <f>IF(F24&lt;0.8,G24*0.062332,IF(F24&lt;0.95,G24*0.041554,0))</f>
        <v>0</v>
      </c>
      <c r="I24" s="53">
        <f>E24+H24</f>
        <v>0</v>
      </c>
      <c r="J24" s="38"/>
      <c r="K24" s="3"/>
      <c r="T24" s="11"/>
      <c r="U24" s="11"/>
    </row>
    <row r="25" spans="1:41">
      <c r="A25" s="37"/>
      <c r="B25" s="46" t="s">
        <v>8</v>
      </c>
      <c r="C25" s="11">
        <f>C7/SQRT(C7^2+G7^2)</f>
        <v>1</v>
      </c>
      <c r="D25" s="11">
        <f>G7-0.33*C7</f>
        <v>-2.2440000000000002</v>
      </c>
      <c r="E25" s="11">
        <f t="shared" ref="E25:E35" si="13">IF(C25&lt;0.8,D25*0.062332,IF(C25&lt;0.95,D25*0.041554,0))</f>
        <v>0</v>
      </c>
      <c r="F25" s="11">
        <f>D7/SQRT(D7^2+H7^2)</f>
        <v>1</v>
      </c>
      <c r="G25" s="11">
        <f>H7-0.33*D7</f>
        <v>-7.2600000000000007</v>
      </c>
      <c r="H25" s="11">
        <f t="shared" ref="H25:H35" si="14">IF(F25&lt;0.8,G25*0.062332,IF(F25&lt;0.95,G25*0.041554,0))</f>
        <v>0</v>
      </c>
      <c r="I25" s="47">
        <f t="shared" ref="I25:I35" si="15">E25+H25</f>
        <v>0</v>
      </c>
      <c r="J25" s="38"/>
      <c r="K25" s="14"/>
      <c r="T25" s="11"/>
      <c r="U25" s="11"/>
    </row>
    <row r="26" spans="1:41">
      <c r="A26" s="37"/>
      <c r="B26" s="46" t="s">
        <v>9</v>
      </c>
      <c r="C26" s="11">
        <f>C8/SQRT(C8^2+G8^2)</f>
        <v>1</v>
      </c>
      <c r="D26" s="11">
        <f>G8-0.33*C8</f>
        <v>-0.33</v>
      </c>
      <c r="E26" s="11">
        <f>IF(C26&lt;0.8,D26*0.062332,IF(C26&lt;0.95,D26*0.041554,0))</f>
        <v>0</v>
      </c>
      <c r="F26" s="11">
        <f>D8/SQRT(D8^2+H8^2)</f>
        <v>1</v>
      </c>
      <c r="G26" s="11">
        <f>H8-0.33*D8</f>
        <v>-0.33</v>
      </c>
      <c r="H26" s="11">
        <f t="shared" si="14"/>
        <v>0</v>
      </c>
      <c r="I26" s="47">
        <f t="shared" si="15"/>
        <v>0</v>
      </c>
      <c r="J26" s="38"/>
      <c r="K26" s="14"/>
      <c r="T26" s="11"/>
      <c r="U26" s="11"/>
    </row>
    <row r="27" spans="1:41">
      <c r="A27" s="37"/>
      <c r="B27" s="46" t="s">
        <v>10</v>
      </c>
      <c r="C27" s="11">
        <f>C9/SQRT(C9^2+G9^2)</f>
        <v>0.864528574713881</v>
      </c>
      <c r="D27" s="11">
        <f>G9-0.33*C9</f>
        <v>46.195999999999991</v>
      </c>
      <c r="E27" s="11">
        <f t="shared" si="13"/>
        <v>1.9196285839999996</v>
      </c>
      <c r="F27" s="11">
        <f>D9/SQRT(D9^2+H9^2)</f>
        <v>0.85799721737539281</v>
      </c>
      <c r="G27" s="11">
        <f>H9-0.33*D9</f>
        <v>145.07999999999996</v>
      </c>
      <c r="H27" s="11">
        <f t="shared" si="14"/>
        <v>6.0286543199999985</v>
      </c>
      <c r="I27" s="47">
        <f t="shared" si="15"/>
        <v>7.9482829039999983</v>
      </c>
      <c r="J27" s="38"/>
      <c r="K27" s="14"/>
      <c r="T27" s="11"/>
      <c r="U27" s="11"/>
    </row>
    <row r="28" spans="1:41">
      <c r="A28" s="37"/>
      <c r="B28" s="46" t="s">
        <v>11</v>
      </c>
      <c r="C28" s="11">
        <f>C10/SQRT(C10^2+G10^2)</f>
        <v>0.9773527959070093</v>
      </c>
      <c r="D28" s="11">
        <f>G10-0.33*C10</f>
        <v>-226.95999999999998</v>
      </c>
      <c r="E28" s="11">
        <f t="shared" si="13"/>
        <v>0</v>
      </c>
      <c r="F28" s="11">
        <f>D10/SQRT(D10^2+H10^2)</f>
        <v>0.97937175005181543</v>
      </c>
      <c r="G28" s="11">
        <f>H10-0.33*D10</f>
        <v>-526.37</v>
      </c>
      <c r="H28" s="11">
        <f t="shared" si="14"/>
        <v>0</v>
      </c>
      <c r="I28" s="47">
        <f t="shared" si="15"/>
        <v>0</v>
      </c>
      <c r="J28" s="38"/>
      <c r="K28" s="14"/>
      <c r="T28" s="11"/>
      <c r="U28" s="11"/>
    </row>
    <row r="29" spans="1:41">
      <c r="A29" s="37"/>
      <c r="B29" s="46" t="s">
        <v>12</v>
      </c>
      <c r="C29" s="11">
        <f>C11/SQRT(C11^2+G11^2)</f>
        <v>0.98128910208586517</v>
      </c>
      <c r="D29" s="11">
        <f>G11-0.33*C11</f>
        <v>-286.04000000000008</v>
      </c>
      <c r="E29" s="11">
        <f t="shared" si="13"/>
        <v>0</v>
      </c>
      <c r="F29" s="11">
        <f>D11/SQRT(D11^2+H11^2)</f>
        <v>0.99859954800807593</v>
      </c>
      <c r="G29" s="11">
        <f>H11-0.33*D11</f>
        <v>-1280.3899999999999</v>
      </c>
      <c r="H29" s="11">
        <f t="shared" si="14"/>
        <v>0</v>
      </c>
      <c r="I29" s="47">
        <f t="shared" si="15"/>
        <v>0</v>
      </c>
      <c r="J29" s="38"/>
      <c r="K29" s="14"/>
      <c r="O29" s="3"/>
      <c r="T29" s="11"/>
      <c r="U29" s="11"/>
    </row>
    <row r="30" spans="1:41">
      <c r="A30" s="37"/>
      <c r="B30" s="46" t="s">
        <v>13</v>
      </c>
      <c r="C30" s="11">
        <f>C12/SQRT(C12^2+G12^2)</f>
        <v>0.98428408800722067</v>
      </c>
      <c r="D30" s="11">
        <f>G12-0.33*C12</f>
        <v>-382.14439999999996</v>
      </c>
      <c r="E30" s="11">
        <f>IF(C30&lt;0.8,D30*0.062332,IF(C30&lt;0.95,D30*0.041554,0))</f>
        <v>0</v>
      </c>
      <c r="F30" s="11">
        <f>D12/SQRT(D12^2+H12^2)</f>
        <v>0.98643772317607303</v>
      </c>
      <c r="G30" s="11">
        <f>H12-0.33*D12</f>
        <v>-800.04000000000008</v>
      </c>
      <c r="H30" s="11">
        <f>IF(F30&lt;0.8,G30*0.062332,IF(F30&lt;0.95,G30*0.041554,0))</f>
        <v>0</v>
      </c>
      <c r="I30" s="47">
        <f t="shared" si="15"/>
        <v>0</v>
      </c>
      <c r="J30" s="38"/>
      <c r="K30" s="105"/>
      <c r="T30" s="11"/>
      <c r="U30" s="11"/>
    </row>
    <row r="31" spans="1:41">
      <c r="A31" s="37"/>
      <c r="B31" s="46" t="s">
        <v>14</v>
      </c>
      <c r="C31" s="11">
        <f>C13/SQRT(C13^2+G13^2)</f>
        <v>0.98426062593558783</v>
      </c>
      <c r="D31" s="11">
        <f>G13-0.33*C13</f>
        <v>-269.60670000000005</v>
      </c>
      <c r="E31" s="11">
        <f>IF(C31&lt;0.8,D31*0.062332,IF(C31&lt;0.95,D31*0.041554,0))</f>
        <v>0</v>
      </c>
      <c r="F31" s="11">
        <f>D13/SQRT(D13^2+H13^2)</f>
        <v>0.99658554066800376</v>
      </c>
      <c r="G31" s="11">
        <f>H13-0.33*D13</f>
        <v>-708.46159999999998</v>
      </c>
      <c r="H31" s="11">
        <f>IF(F31&lt;0.8,G31*0.062332,IF(F31&lt;0.95,G31*0.041554,0))</f>
        <v>0</v>
      </c>
      <c r="I31" s="47">
        <f>E31+H31</f>
        <v>0</v>
      </c>
      <c r="J31" s="38"/>
      <c r="K31" s="14"/>
      <c r="T31" s="11"/>
      <c r="U31" s="11"/>
    </row>
    <row r="32" spans="1:41">
      <c r="A32" s="37"/>
      <c r="B32" s="46" t="s">
        <v>15</v>
      </c>
      <c r="C32" s="11">
        <f>C14/SQRT(C14^2+G14^2)</f>
        <v>0.98586386964606665</v>
      </c>
      <c r="D32" s="11">
        <f>G14-0.33*C14</f>
        <v>-324.89999999999998</v>
      </c>
      <c r="E32" s="11">
        <f t="shared" si="13"/>
        <v>0</v>
      </c>
      <c r="F32" s="11">
        <f>D14/SQRT(D14^2+H14^2)</f>
        <v>0.99752744748346389</v>
      </c>
      <c r="G32" s="11">
        <f>H14-0.33*D14</f>
        <v>-987.32000000000016</v>
      </c>
      <c r="H32" s="11">
        <f t="shared" si="14"/>
        <v>0</v>
      </c>
      <c r="I32" s="47">
        <f t="shared" si="15"/>
        <v>0</v>
      </c>
      <c r="J32" s="38"/>
      <c r="K32" s="14"/>
      <c r="L32" s="3"/>
      <c r="M32" s="13"/>
      <c r="T32" s="11"/>
      <c r="U32" s="11"/>
    </row>
    <row r="33" spans="1:25">
      <c r="A33" s="37"/>
      <c r="B33" s="46" t="s">
        <v>49</v>
      </c>
      <c r="C33" s="11">
        <f>C15/SQRT(C15^2+G15^2)</f>
        <v>0.96136876005930183</v>
      </c>
      <c r="D33" s="11">
        <f>G15-0.33*C15</f>
        <v>-10.219999999999999</v>
      </c>
      <c r="E33" s="11">
        <f>IF(C33&lt;0.8,D33*0.062332,IF(C33&lt;0.95,D33*0.041554,0))</f>
        <v>0</v>
      </c>
      <c r="F33" s="11">
        <f>D15/SQRT(D15^2+H15^2)</f>
        <v>0.96965303250771828</v>
      </c>
      <c r="G33" s="11">
        <f>H15-0.33*D15</f>
        <v>-36.44</v>
      </c>
      <c r="H33" s="11">
        <f t="shared" si="14"/>
        <v>0</v>
      </c>
      <c r="I33" s="47">
        <f t="shared" si="15"/>
        <v>0</v>
      </c>
      <c r="J33" s="38"/>
      <c r="K33" s="14"/>
      <c r="T33" s="11"/>
      <c r="U33" s="11"/>
    </row>
    <row r="34" spans="1:25">
      <c r="A34" s="37"/>
      <c r="B34" s="46" t="s">
        <v>16</v>
      </c>
      <c r="C34" s="11">
        <f>C16/SQRT(C16^2+G16^2)</f>
        <v>1</v>
      </c>
      <c r="D34" s="11">
        <f>G16-0.33*C16</f>
        <v>-0.99</v>
      </c>
      <c r="E34" s="11">
        <f t="shared" si="13"/>
        <v>0</v>
      </c>
      <c r="F34" s="11">
        <f>D16/SQRT(D16^2+H16^2)</f>
        <v>1</v>
      </c>
      <c r="G34" s="11">
        <f>H16-0.33*D16</f>
        <v>-3.6300000000000003</v>
      </c>
      <c r="H34" s="11">
        <f t="shared" si="14"/>
        <v>0</v>
      </c>
      <c r="I34" s="47">
        <f t="shared" si="15"/>
        <v>0</v>
      </c>
      <c r="J34" s="38"/>
      <c r="K34" s="14"/>
      <c r="U34" s="11"/>
    </row>
    <row r="35" spans="1:25" ht="13.5" thickBot="1">
      <c r="A35" s="37"/>
      <c r="B35" s="48" t="s">
        <v>17</v>
      </c>
      <c r="C35" s="49">
        <f>C17/SQRT(C17^2+G17^2)</f>
        <v>1</v>
      </c>
      <c r="D35" s="49">
        <f>G17-0.33*C17</f>
        <v>-1.98</v>
      </c>
      <c r="E35" s="49">
        <f t="shared" si="13"/>
        <v>0</v>
      </c>
      <c r="F35" s="49">
        <f>D17/SQRT(D17^2+H17^2)</f>
        <v>1</v>
      </c>
      <c r="G35" s="49">
        <f>H17-0.33*D17</f>
        <v>-6.9300000000000006</v>
      </c>
      <c r="H35" s="49">
        <f t="shared" si="14"/>
        <v>0</v>
      </c>
      <c r="I35" s="50">
        <f t="shared" si="15"/>
        <v>0</v>
      </c>
      <c r="J35" s="38"/>
      <c r="K35" s="14"/>
    </row>
    <row r="36" spans="1:25">
      <c r="B36" s="42"/>
      <c r="C36" s="42"/>
      <c r="D36" s="42"/>
      <c r="E36" s="42"/>
      <c r="F36" s="42"/>
      <c r="G36" s="42"/>
      <c r="H36" s="42"/>
      <c r="I36" s="42"/>
      <c r="K36" s="14"/>
      <c r="L36" s="3"/>
      <c r="M36" s="3"/>
      <c r="N36" s="3"/>
      <c r="O36" s="3"/>
      <c r="P36" s="3"/>
    </row>
    <row r="37" spans="1:25">
      <c r="E37" s="3"/>
      <c r="J37" s="3"/>
      <c r="L37" s="3"/>
      <c r="M37" s="3"/>
      <c r="N37" s="3"/>
      <c r="O37" s="3"/>
      <c r="P37" s="3"/>
      <c r="Y37" s="35"/>
    </row>
    <row r="38" spans="1:25">
      <c r="L38" s="10"/>
      <c r="M38" s="10"/>
      <c r="N38" s="10"/>
      <c r="O38" s="10"/>
      <c r="P38" s="10"/>
    </row>
    <row r="39" spans="1:25">
      <c r="L39" s="10"/>
      <c r="M39" s="10"/>
      <c r="N39" s="10"/>
      <c r="O39" s="10"/>
      <c r="P39" s="10"/>
    </row>
    <row r="40" spans="1:25">
      <c r="L40" s="10"/>
      <c r="M40" s="10"/>
      <c r="N40" s="10"/>
      <c r="O40" s="10"/>
      <c r="P40" s="10"/>
    </row>
    <row r="41" spans="1:25">
      <c r="L41" s="10"/>
      <c r="M41" s="10"/>
      <c r="N41" s="10"/>
      <c r="O41" s="10"/>
      <c r="P41" s="10"/>
    </row>
    <row r="42" spans="1:25">
      <c r="L42" s="10"/>
      <c r="M42" s="10"/>
      <c r="N42" s="10"/>
      <c r="O42" s="10"/>
      <c r="P42" s="10"/>
    </row>
    <row r="43" spans="1:25">
      <c r="L43" s="10"/>
      <c r="M43" s="10"/>
      <c r="N43" s="10"/>
      <c r="O43" s="10"/>
      <c r="P43" s="10"/>
    </row>
    <row r="44" spans="1:25">
      <c r="B44" s="3"/>
      <c r="C44" s="3"/>
      <c r="D44" s="3"/>
      <c r="E44" s="3"/>
      <c r="F44" s="3"/>
      <c r="G44" s="3"/>
      <c r="H44" s="3"/>
      <c r="I44" s="3"/>
      <c r="J44" s="3"/>
      <c r="K44" s="3"/>
      <c r="L44" s="10"/>
      <c r="M44" s="10"/>
      <c r="N44" s="10"/>
      <c r="O44" s="10"/>
      <c r="P44" s="10"/>
    </row>
    <row r="45" spans="1:25">
      <c r="B45" s="3"/>
      <c r="C45" s="3"/>
      <c r="D45" s="3"/>
      <c r="E45" s="3"/>
      <c r="F45" s="3"/>
      <c r="G45" s="3"/>
      <c r="H45" s="3"/>
      <c r="I45" s="3"/>
      <c r="J45" s="3"/>
      <c r="K45" s="3"/>
      <c r="L45" s="10"/>
      <c r="M45" s="10"/>
      <c r="N45" s="10"/>
      <c r="O45" s="10"/>
      <c r="P45" s="10"/>
    </row>
    <row r="46" spans="1:25">
      <c r="B46" s="15"/>
      <c r="C46" s="33"/>
      <c r="D46" s="33"/>
      <c r="E46" s="33"/>
      <c r="F46" s="33"/>
      <c r="G46" s="10"/>
      <c r="H46" s="10"/>
      <c r="I46" s="10"/>
      <c r="J46" s="10"/>
      <c r="K46" s="10"/>
      <c r="L46" s="10"/>
      <c r="M46" s="10"/>
      <c r="N46" s="10"/>
      <c r="O46" s="10"/>
      <c r="P46" s="10"/>
    </row>
    <row r="47" spans="1:25">
      <c r="B47" s="15"/>
      <c r="C47" s="33"/>
      <c r="D47" s="33"/>
      <c r="E47" s="33"/>
      <c r="F47" s="33"/>
      <c r="G47" s="10"/>
      <c r="H47" s="10"/>
      <c r="I47" s="10"/>
      <c r="J47" s="10"/>
      <c r="K47" s="10"/>
      <c r="L47" s="10"/>
      <c r="M47" s="10"/>
      <c r="N47" s="10"/>
      <c r="O47" s="10"/>
      <c r="P47" s="10"/>
    </row>
    <row r="48" spans="1:25">
      <c r="B48" s="15"/>
      <c r="C48" s="33"/>
      <c r="D48" s="33"/>
      <c r="E48" s="33"/>
      <c r="F48" s="33"/>
      <c r="G48" s="10"/>
      <c r="H48" s="10"/>
      <c r="I48" s="10"/>
      <c r="J48" s="10"/>
      <c r="K48" s="10"/>
      <c r="L48" s="10"/>
      <c r="M48" s="10"/>
      <c r="N48" s="10"/>
      <c r="O48" s="10"/>
      <c r="P48" s="10"/>
    </row>
    <row r="49" spans="2:16">
      <c r="B49" s="15"/>
      <c r="C49" s="33"/>
      <c r="D49" s="33"/>
      <c r="E49" s="33"/>
      <c r="F49" s="33"/>
      <c r="G49" s="10"/>
      <c r="H49" s="10"/>
      <c r="I49" s="10"/>
      <c r="J49" s="10"/>
      <c r="K49" s="10"/>
      <c r="L49" s="10"/>
      <c r="M49" s="10"/>
      <c r="N49" s="10"/>
      <c r="O49" s="10"/>
      <c r="P49" s="10"/>
    </row>
    <row r="50" spans="2:16">
      <c r="B50" s="15"/>
      <c r="C50" s="33"/>
      <c r="D50" s="33"/>
      <c r="E50" s="33"/>
      <c r="F50" s="33"/>
      <c r="G50" s="10"/>
      <c r="H50" s="10"/>
      <c r="I50" s="10"/>
      <c r="J50" s="10"/>
      <c r="K50" s="10"/>
      <c r="L50" s="13"/>
      <c r="M50" s="13"/>
      <c r="N50" s="13"/>
      <c r="O50" s="13"/>
      <c r="P50" s="13"/>
    </row>
    <row r="51" spans="2:16">
      <c r="B51" s="15"/>
      <c r="C51" s="33"/>
      <c r="D51" s="33"/>
      <c r="E51" s="33"/>
      <c r="F51" s="33"/>
      <c r="G51" s="10"/>
      <c r="H51" s="10"/>
      <c r="I51" s="10"/>
      <c r="J51" s="10"/>
      <c r="K51" s="10"/>
    </row>
    <row r="52" spans="2:16">
      <c r="B52" s="15"/>
      <c r="C52" s="33"/>
      <c r="D52" s="33"/>
      <c r="E52" s="33"/>
      <c r="F52" s="33"/>
      <c r="G52" s="10"/>
      <c r="H52" s="10"/>
      <c r="I52" s="10"/>
      <c r="J52" s="10"/>
      <c r="K52" s="10"/>
    </row>
    <row r="53" spans="2:16">
      <c r="B53" s="15"/>
      <c r="C53" s="33"/>
      <c r="D53" s="33"/>
      <c r="E53" s="33"/>
      <c r="F53" s="33"/>
      <c r="G53" s="10"/>
      <c r="H53" s="10"/>
      <c r="I53" s="10"/>
      <c r="J53" s="10"/>
      <c r="K53" s="10"/>
    </row>
    <row r="54" spans="2:16">
      <c r="B54" s="15"/>
      <c r="C54" s="33"/>
      <c r="D54" s="33"/>
      <c r="E54" s="33"/>
      <c r="F54" s="33"/>
      <c r="G54" s="10"/>
      <c r="H54" s="10"/>
      <c r="I54" s="10"/>
      <c r="J54" s="10"/>
      <c r="K54" s="10"/>
    </row>
    <row r="55" spans="2:16">
      <c r="B55" s="15"/>
      <c r="C55" s="33"/>
      <c r="D55" s="33"/>
      <c r="E55" s="33"/>
      <c r="F55" s="33"/>
      <c r="G55" s="10"/>
      <c r="H55" s="10"/>
      <c r="I55" s="10"/>
      <c r="J55" s="10"/>
      <c r="K55" s="10"/>
    </row>
    <row r="56" spans="2:16">
      <c r="B56" s="15"/>
      <c r="C56" s="33"/>
      <c r="D56" s="33"/>
      <c r="E56" s="33"/>
      <c r="F56" s="33"/>
      <c r="G56" s="10"/>
      <c r="H56" s="10"/>
      <c r="I56" s="10"/>
      <c r="J56" s="10"/>
      <c r="K56" s="10"/>
    </row>
    <row r="57" spans="2:16">
      <c r="B57" s="15"/>
      <c r="C57" s="33"/>
      <c r="D57" s="33"/>
      <c r="E57" s="33"/>
      <c r="F57" s="33"/>
      <c r="G57" s="10"/>
      <c r="H57" s="10"/>
      <c r="I57" s="10"/>
      <c r="J57" s="10"/>
      <c r="K57" s="10"/>
    </row>
    <row r="58" spans="2:16">
      <c r="B58" s="15"/>
      <c r="C58" s="36"/>
      <c r="D58" s="36"/>
      <c r="E58" s="36"/>
      <c r="F58" s="36"/>
      <c r="G58" s="13"/>
      <c r="H58" s="13"/>
      <c r="I58" s="13"/>
      <c r="J58" s="13"/>
      <c r="K58" s="13"/>
    </row>
  </sheetData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O58"/>
  <sheetViews>
    <sheetView tabSelected="1" zoomScale="80" zoomScaleNormal="80" workbookViewId="0">
      <selection activeCell="J50" sqref="J50"/>
    </sheetView>
  </sheetViews>
  <sheetFormatPr baseColWidth="10" defaultRowHeight="12.75"/>
  <cols>
    <col min="1" max="2" width="11.42578125" style="1"/>
    <col min="3" max="3" width="14.140625" style="1" customWidth="1"/>
    <col min="4" max="4" width="11.5703125" style="1" bestFit="1" customWidth="1"/>
    <col min="5" max="5" width="11.42578125" style="1"/>
    <col min="6" max="6" width="10.42578125" style="1" bestFit="1" customWidth="1"/>
    <col min="7" max="7" width="13" style="1" bestFit="1" customWidth="1"/>
    <col min="8" max="8" width="14.5703125" style="1" bestFit="1" customWidth="1"/>
    <col min="9" max="9" width="17" style="1" bestFit="1" customWidth="1"/>
    <col min="10" max="10" width="14.5703125" style="1" bestFit="1" customWidth="1"/>
    <col min="11" max="11" width="11.5703125" style="1" bestFit="1" customWidth="1"/>
    <col min="12" max="12" width="16" style="1" customWidth="1"/>
    <col min="13" max="13" width="11.5703125" style="1" bestFit="1" customWidth="1"/>
    <col min="14" max="14" width="14.85546875" style="1" customWidth="1"/>
    <col min="15" max="15" width="22.28515625" style="1" customWidth="1"/>
    <col min="16" max="17" width="11.42578125" style="1"/>
    <col min="18" max="18" width="19" style="1" bestFit="1" customWidth="1"/>
    <col min="19" max="16384" width="11.42578125" style="1"/>
  </cols>
  <sheetData>
    <row r="1" spans="1:39">
      <c r="A1" s="37"/>
      <c r="B1" s="43" t="s">
        <v>54</v>
      </c>
      <c r="C1" s="44" t="s">
        <v>0</v>
      </c>
      <c r="D1" s="44" t="s">
        <v>1</v>
      </c>
      <c r="E1" s="44" t="s">
        <v>2</v>
      </c>
      <c r="F1" s="44" t="s">
        <v>3</v>
      </c>
      <c r="G1" s="44" t="s">
        <v>4</v>
      </c>
      <c r="H1" s="44" t="s">
        <v>94</v>
      </c>
      <c r="I1" s="44" t="s">
        <v>95</v>
      </c>
      <c r="J1" s="44" t="s">
        <v>96</v>
      </c>
      <c r="K1" s="44" t="s">
        <v>97</v>
      </c>
      <c r="L1" s="44" t="s">
        <v>98</v>
      </c>
      <c r="M1" s="44" t="s">
        <v>99</v>
      </c>
      <c r="N1" s="95" t="s">
        <v>62</v>
      </c>
      <c r="O1" s="45" t="s">
        <v>61</v>
      </c>
      <c r="P1" s="38"/>
    </row>
    <row r="2" spans="1:39" ht="13.5" thickBot="1">
      <c r="A2" s="37"/>
      <c r="B2" s="96">
        <v>1</v>
      </c>
      <c r="C2" s="97" t="str">
        <f>LOOKUP(B2,Tarifas!$A$2:$A$27,Tarifas!$K$2:$K$27)</f>
        <v>3.1A</v>
      </c>
      <c r="D2" s="97">
        <v>32.941171640779316</v>
      </c>
      <c r="E2" s="97">
        <v>37.142807296410744</v>
      </c>
      <c r="F2" s="97">
        <v>37.142807296410744</v>
      </c>
      <c r="G2" s="97" t="s">
        <v>5</v>
      </c>
      <c r="H2" s="98">
        <f>LOOKUP($B$2,Tarifas!$A$2:$A$27,Tarifas!F2:F27)</f>
        <v>59.475287999999999</v>
      </c>
      <c r="I2" s="98">
        <f>LOOKUP($B$2,Tarifas!$A$2:$A$27,Tarifas!G2:G27)</f>
        <v>36.676813000000003</v>
      </c>
      <c r="J2" s="98">
        <f>LOOKUP($B$2,Tarifas!$A$2:$A$27,Tarifas!H2:H27)</f>
        <v>8.4104109999999999</v>
      </c>
      <c r="K2" s="98">
        <f>LOOKUP($B$2,Tarifas!$A$2:$A$27,Tarifas!C2:C27)</f>
        <v>0.1244</v>
      </c>
      <c r="L2" s="98">
        <f>LOOKUP($B$2,Tarifas!$A$2:$A$27,Tarifas!D2:D27)</f>
        <v>0.106986</v>
      </c>
      <c r="M2" s="98">
        <f>LOOKUP($B$2,Tarifas!$A$2:$A$27,Tarifas!E2:E27)</f>
        <v>7.8160999999999994E-2</v>
      </c>
      <c r="N2" s="98">
        <f>LOOKUP($B$2,Tarifas!$A$2:$A$27,Tarifas!J2:J27)</f>
        <v>0</v>
      </c>
      <c r="O2" s="99">
        <f>LOOKUP($B$2,Tarifas!$A$2:$A$27,Tarifas!I2:I27)</f>
        <v>0.14000000000000001</v>
      </c>
      <c r="P2" s="38"/>
      <c r="AB2" s="15"/>
    </row>
    <row r="3" spans="1:39" ht="13.5" thickBot="1"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40"/>
      <c r="Q3" s="40"/>
      <c r="R3" s="40"/>
      <c r="S3" s="40"/>
      <c r="T3" s="40"/>
      <c r="U3" s="40"/>
      <c r="V3" s="40"/>
      <c r="W3" s="40"/>
      <c r="X3" s="40"/>
      <c r="Y3" s="39"/>
    </row>
    <row r="4" spans="1:39">
      <c r="A4" s="37"/>
      <c r="B4" s="43" t="s">
        <v>6</v>
      </c>
      <c r="C4" s="44" t="s">
        <v>18</v>
      </c>
      <c r="D4" s="44" t="s">
        <v>20</v>
      </c>
      <c r="E4" s="44" t="s">
        <v>21</v>
      </c>
      <c r="F4" s="44" t="s">
        <v>22</v>
      </c>
      <c r="G4" s="44" t="s">
        <v>23</v>
      </c>
      <c r="H4" s="44" t="s">
        <v>24</v>
      </c>
      <c r="I4" s="44" t="s">
        <v>25</v>
      </c>
      <c r="J4" s="44" t="s">
        <v>27</v>
      </c>
      <c r="K4" s="44" t="s">
        <v>29</v>
      </c>
      <c r="L4" s="61" t="s">
        <v>30</v>
      </c>
      <c r="M4" s="43" t="s">
        <v>81</v>
      </c>
      <c r="N4" s="44" t="s">
        <v>83</v>
      </c>
      <c r="O4" s="44" t="s">
        <v>82</v>
      </c>
      <c r="P4" s="44" t="s">
        <v>31</v>
      </c>
      <c r="Q4" s="44" t="s">
        <v>33</v>
      </c>
      <c r="R4" s="44" t="s">
        <v>34</v>
      </c>
      <c r="S4" s="44" t="s">
        <v>42</v>
      </c>
      <c r="T4" s="44" t="s">
        <v>43</v>
      </c>
      <c r="U4" s="44" t="s">
        <v>51</v>
      </c>
      <c r="V4" s="44" t="s">
        <v>44</v>
      </c>
      <c r="W4" s="44" t="s">
        <v>45</v>
      </c>
      <c r="X4" s="72" t="s">
        <v>46</v>
      </c>
      <c r="Y4" s="38"/>
      <c r="AE4" s="12"/>
      <c r="AL4" s="1" t="s">
        <v>52</v>
      </c>
      <c r="AM4" s="1" t="s">
        <v>53</v>
      </c>
    </row>
    <row r="5" spans="1:39">
      <c r="A5" s="37"/>
      <c r="B5" s="62" t="s">
        <v>7</v>
      </c>
      <c r="C5" s="3" t="s">
        <v>19</v>
      </c>
      <c r="D5" s="3" t="s">
        <v>19</v>
      </c>
      <c r="E5" s="3" t="s">
        <v>19</v>
      </c>
      <c r="F5" s="3" t="s">
        <v>19</v>
      </c>
      <c r="G5" s="3" t="s">
        <v>26</v>
      </c>
      <c r="H5" s="3" t="s">
        <v>26</v>
      </c>
      <c r="I5" s="3" t="s">
        <v>26</v>
      </c>
      <c r="J5" s="3" t="s">
        <v>28</v>
      </c>
      <c r="K5" s="3" t="s">
        <v>28</v>
      </c>
      <c r="L5" s="63" t="s">
        <v>28</v>
      </c>
      <c r="M5" s="62" t="s">
        <v>32</v>
      </c>
      <c r="N5" s="3" t="s">
        <v>32</v>
      </c>
      <c r="O5" s="3" t="s">
        <v>32</v>
      </c>
      <c r="P5" s="3" t="s">
        <v>32</v>
      </c>
      <c r="Q5" s="3" t="s">
        <v>32</v>
      </c>
      <c r="R5" s="3" t="s">
        <v>32</v>
      </c>
      <c r="S5" s="3" t="s">
        <v>32</v>
      </c>
      <c r="T5" s="3" t="s">
        <v>32</v>
      </c>
      <c r="U5" s="3" t="s">
        <v>32</v>
      </c>
      <c r="V5" s="3" t="s">
        <v>32</v>
      </c>
      <c r="W5" s="3" t="s">
        <v>32</v>
      </c>
      <c r="X5" s="73" t="s">
        <v>32</v>
      </c>
      <c r="Y5" s="38"/>
      <c r="AL5" s="1">
        <v>86.176000000000002</v>
      </c>
      <c r="AM5" s="1">
        <f>26+24+19</f>
        <v>69</v>
      </c>
    </row>
    <row r="6" spans="1:39">
      <c r="A6" s="37"/>
      <c r="B6" s="64" t="s">
        <v>48</v>
      </c>
      <c r="C6" s="9">
        <f>9.32+7.68</f>
        <v>17</v>
      </c>
      <c r="D6" s="9">
        <f>30.16+24.84</f>
        <v>55</v>
      </c>
      <c r="E6" s="9">
        <f>15.35+12.65</f>
        <v>28</v>
      </c>
      <c r="F6" s="4">
        <f>C6+D6+E6</f>
        <v>100</v>
      </c>
      <c r="G6" s="16">
        <v>0</v>
      </c>
      <c r="H6" s="16">
        <v>0</v>
      </c>
      <c r="I6" s="16">
        <v>0</v>
      </c>
      <c r="J6" s="16">
        <v>36</v>
      </c>
      <c r="K6" s="16">
        <v>40</v>
      </c>
      <c r="L6" s="65">
        <v>30</v>
      </c>
      <c r="M6" s="74">
        <f>IF(J6&lt;$D$2*0.85,$D$2*0.85,IF(J6&gt;$D$2*1.05,J6+2*(J6-$D$2*1.05),J6))</f>
        <v>38.823539554363435</v>
      </c>
      <c r="N6" s="32">
        <f>IF(K6&lt;$E$2*0.85,$E$2*0.85,IF(K6&gt;$E$2*1.05,K6+2*(K6-$E$2*1.05),K6))</f>
        <v>42.000104677537436</v>
      </c>
      <c r="O6" s="32">
        <f>IF(L6&lt;$F$2*0.85,$F$2*0.85,IF(L6&gt;$F$2*1.05,L6+2*(L6-$F$2*1.05),L6))</f>
        <v>31.571386201949132</v>
      </c>
      <c r="P6" s="10">
        <f>(M6*$H$2/12+N6*$I$2/12+O6*$J$2/12)*(1-$N$2)</f>
        <v>342.91662626764531</v>
      </c>
      <c r="Q6" s="10">
        <f>(C6*$K$2+D6*$L$2+E6*$M$2)*(1-$O$2)</f>
        <v>8.761282679999999</v>
      </c>
      <c r="R6" s="10">
        <f>I24</f>
        <v>0</v>
      </c>
      <c r="S6" s="10">
        <f>1.05113*4.864/100*(P6+Q6+R6)</f>
        <v>17.980223509019211</v>
      </c>
      <c r="T6" s="10">
        <v>12</v>
      </c>
      <c r="U6" s="10">
        <v>0</v>
      </c>
      <c r="V6" s="10">
        <f>P6+Q6+R6+S6+T6+U6</f>
        <v>381.65813245666453</v>
      </c>
      <c r="W6" s="10">
        <f>0.21*V6</f>
        <v>80.148207815899553</v>
      </c>
      <c r="X6" s="75">
        <f>V6+W6</f>
        <v>461.80634027256406</v>
      </c>
      <c r="Y6" s="70"/>
      <c r="AB6" s="15"/>
      <c r="AL6" s="1">
        <v>79.176000000000002</v>
      </c>
      <c r="AM6" s="1">
        <v>67.8</v>
      </c>
    </row>
    <row r="7" spans="1:39">
      <c r="A7" s="37"/>
      <c r="B7" s="64" t="s">
        <v>8</v>
      </c>
      <c r="C7" s="9">
        <v>6.8</v>
      </c>
      <c r="D7" s="9">
        <v>22</v>
      </c>
      <c r="E7" s="9">
        <v>11.2</v>
      </c>
      <c r="F7" s="4">
        <f t="shared" ref="F7:F17" si="0">C7+D7+E7</f>
        <v>40</v>
      </c>
      <c r="G7" s="16">
        <v>0</v>
      </c>
      <c r="H7" s="16">
        <v>0</v>
      </c>
      <c r="I7" s="16">
        <v>0</v>
      </c>
      <c r="J7" s="16">
        <v>33</v>
      </c>
      <c r="K7" s="16">
        <v>28</v>
      </c>
      <c r="L7" s="65">
        <v>30</v>
      </c>
      <c r="M7" s="74">
        <f t="shared" ref="M7:M17" si="1">IF(J7&lt;$D$2*0.85,$D$2*0.85,IF(J7&gt;$D$2*1.05,J7+2*(J7-$D$2*1.05),J7))</f>
        <v>33</v>
      </c>
      <c r="N7" s="32">
        <f t="shared" ref="N7:N17" si="2">IF(K7&lt;$E$2*0.85,$E$2*0.85,IF(K7&gt;$E$2*1.05,K7+2*(K7-$E$2*1.05),K7))</f>
        <v>31.571386201949132</v>
      </c>
      <c r="O7" s="32">
        <f t="shared" ref="O7:O17" si="3">IF(L7&lt;$F$2*0.85,$F$2*0.85,IF(L7&gt;$F$2*1.05,L7+2*(L7-$F$2*1.05),L7))</f>
        <v>31.571386201949132</v>
      </c>
      <c r="P7" s="10">
        <f t="shared" ref="P7:P17" si="4">(M7*$H$2/12+N7*$I$2/12+O7*$J$2/12)*(1-$N$2)</f>
        <v>282.17922213981581</v>
      </c>
      <c r="Q7" s="10">
        <f t="shared" ref="Q7:Q17" si="5">(C7*$K$2+D7*$L$2+E7*$M$2)*(1-$O$2)</f>
        <v>3.504513072</v>
      </c>
      <c r="R7" s="10">
        <f t="shared" ref="R7:R17" si="6">I25</f>
        <v>0</v>
      </c>
      <c r="S7" s="10">
        <f t="shared" ref="S7:S17" si="7">1.05113*4.864/100*(P7+Q7+R7)</f>
        <v>14.60614181701305</v>
      </c>
      <c r="T7" s="10">
        <f>T6</f>
        <v>12</v>
      </c>
      <c r="U7" s="10">
        <v>0</v>
      </c>
      <c r="V7" s="10">
        <f t="shared" ref="V7:V17" si="8">P7+Q7+R7+S7+T7+U7</f>
        <v>312.28987702882887</v>
      </c>
      <c r="W7" s="10">
        <f t="shared" ref="W7:W17" si="9">0.21*V7</f>
        <v>65.580874176054067</v>
      </c>
      <c r="X7" s="75">
        <f t="shared" ref="X7:X17" si="10">V7+W7</f>
        <v>377.87075120488294</v>
      </c>
      <c r="Y7" s="70"/>
      <c r="AE7" s="12"/>
      <c r="AL7" s="1">
        <v>88.763999999999996</v>
      </c>
      <c r="AM7" s="1">
        <v>71</v>
      </c>
    </row>
    <row r="8" spans="1:39">
      <c r="A8" s="37"/>
      <c r="B8" s="64" t="s">
        <v>9</v>
      </c>
      <c r="C8" s="9">
        <v>1</v>
      </c>
      <c r="D8" s="9">
        <v>1</v>
      </c>
      <c r="E8" s="9">
        <v>1</v>
      </c>
      <c r="F8" s="4">
        <f t="shared" si="0"/>
        <v>3</v>
      </c>
      <c r="G8" s="16">
        <v>0</v>
      </c>
      <c r="H8" s="16">
        <v>0</v>
      </c>
      <c r="I8" s="16">
        <v>0</v>
      </c>
      <c r="J8" s="16">
        <v>23</v>
      </c>
      <c r="K8" s="16">
        <v>30</v>
      </c>
      <c r="L8" s="65">
        <v>31</v>
      </c>
      <c r="M8" s="74">
        <f t="shared" si="1"/>
        <v>27.999995894662419</v>
      </c>
      <c r="N8" s="32">
        <f t="shared" si="2"/>
        <v>31.571386201949132</v>
      </c>
      <c r="O8" s="32">
        <f t="shared" si="3"/>
        <v>31.571386201949132</v>
      </c>
      <c r="P8" s="10">
        <f t="shared" si="4"/>
        <v>257.39783179263787</v>
      </c>
      <c r="Q8" s="10">
        <f t="shared" si="5"/>
        <v>0.26621041999999995</v>
      </c>
      <c r="R8" s="10">
        <f t="shared" si="6"/>
        <v>0</v>
      </c>
      <c r="S8" s="10">
        <f t="shared" si="7"/>
        <v>13.17358000416878</v>
      </c>
      <c r="T8" s="10">
        <f t="shared" ref="T8:T17" si="11">T7</f>
        <v>12</v>
      </c>
      <c r="U8" s="10">
        <v>0</v>
      </c>
      <c r="V8" s="10">
        <f t="shared" si="8"/>
        <v>282.83762221680666</v>
      </c>
      <c r="W8" s="10">
        <f t="shared" si="9"/>
        <v>59.395900665529396</v>
      </c>
      <c r="X8" s="75">
        <f t="shared" si="10"/>
        <v>342.23352288233605</v>
      </c>
      <c r="Y8" s="70"/>
    </row>
    <row r="9" spans="1:39">
      <c r="A9" s="37"/>
      <c r="B9" s="64" t="s">
        <v>10</v>
      </c>
      <c r="C9" s="4">
        <f>97.92+85.88</f>
        <v>183.8</v>
      </c>
      <c r="D9" s="4">
        <f>288+252</f>
        <v>540</v>
      </c>
      <c r="E9" s="4">
        <f>190.08+166.32</f>
        <v>356.4</v>
      </c>
      <c r="F9" s="4">
        <f t="shared" si="0"/>
        <v>1080.1999999999998</v>
      </c>
      <c r="G9" s="16">
        <v>106.85</v>
      </c>
      <c r="H9" s="16">
        <v>323.27999999999997</v>
      </c>
      <c r="I9" s="16">
        <v>0</v>
      </c>
      <c r="J9" s="16">
        <v>28</v>
      </c>
      <c r="K9" s="16">
        <v>39</v>
      </c>
      <c r="L9" s="65">
        <v>22</v>
      </c>
      <c r="M9" s="74">
        <f t="shared" si="1"/>
        <v>28</v>
      </c>
      <c r="N9" s="32">
        <f t="shared" si="2"/>
        <v>39.000104677537436</v>
      </c>
      <c r="O9" s="32">
        <f t="shared" si="3"/>
        <v>31.571386201949132</v>
      </c>
      <c r="P9" s="10">
        <f t="shared" si="4"/>
        <v>280.10299533638226</v>
      </c>
      <c r="Q9" s="10">
        <f t="shared" si="5"/>
        <v>93.304616743999986</v>
      </c>
      <c r="R9" s="10">
        <f t="shared" si="6"/>
        <v>7.9482829039999983</v>
      </c>
      <c r="S9" s="10">
        <f t="shared" si="7"/>
        <v>19.497568808969572</v>
      </c>
      <c r="T9" s="10">
        <f t="shared" si="11"/>
        <v>12</v>
      </c>
      <c r="U9" s="10">
        <v>0</v>
      </c>
      <c r="V9" s="10">
        <f t="shared" si="8"/>
        <v>412.85346379335181</v>
      </c>
      <c r="W9" s="10">
        <f t="shared" si="9"/>
        <v>86.699227396603874</v>
      </c>
      <c r="X9" s="75">
        <f t="shared" si="10"/>
        <v>499.55269118995568</v>
      </c>
      <c r="Y9" s="70"/>
    </row>
    <row r="10" spans="1:39">
      <c r="A10" s="37"/>
      <c r="B10" s="64" t="s">
        <v>11</v>
      </c>
      <c r="C10" s="4">
        <v>2000</v>
      </c>
      <c r="D10" s="4">
        <v>4256</v>
      </c>
      <c r="E10" s="4">
        <v>4994</v>
      </c>
      <c r="F10" s="4">
        <f t="shared" si="0"/>
        <v>11250</v>
      </c>
      <c r="G10" s="16">
        <v>433.04</v>
      </c>
      <c r="H10" s="16">
        <v>878.11</v>
      </c>
      <c r="I10" s="16">
        <v>0</v>
      </c>
      <c r="J10" s="16">
        <v>27</v>
      </c>
      <c r="K10" s="16">
        <v>35</v>
      </c>
      <c r="L10" s="65">
        <v>39</v>
      </c>
      <c r="M10" s="74">
        <f t="shared" si="1"/>
        <v>27.999995894662419</v>
      </c>
      <c r="N10" s="32">
        <f t="shared" si="2"/>
        <v>35</v>
      </c>
      <c r="O10" s="32">
        <f t="shared" si="3"/>
        <v>39.000104677537436</v>
      </c>
      <c r="P10" s="10">
        <f t="shared" si="4"/>
        <v>273.08359868458149</v>
      </c>
      <c r="Q10" s="10">
        <f t="shared" si="5"/>
        <v>941.24286699999982</v>
      </c>
      <c r="R10" s="10">
        <f t="shared" si="6"/>
        <v>0</v>
      </c>
      <c r="S10" s="10">
        <f t="shared" si="7"/>
        <v>62.08482452384164</v>
      </c>
      <c r="T10" s="10">
        <f t="shared" si="11"/>
        <v>12</v>
      </c>
      <c r="U10" s="10">
        <v>0</v>
      </c>
      <c r="V10" s="10">
        <f t="shared" si="8"/>
        <v>1288.411290208423</v>
      </c>
      <c r="W10" s="10">
        <f t="shared" si="9"/>
        <v>270.56637094376885</v>
      </c>
      <c r="X10" s="75">
        <f t="shared" si="10"/>
        <v>1558.9776611521918</v>
      </c>
      <c r="Y10" s="70"/>
    </row>
    <row r="11" spans="1:39">
      <c r="A11" s="37"/>
      <c r="B11" s="64" t="s">
        <v>12</v>
      </c>
      <c r="C11" s="4">
        <v>2138</v>
      </c>
      <c r="D11" s="4">
        <v>4622</v>
      </c>
      <c r="E11" s="4">
        <v>5736</v>
      </c>
      <c r="F11" s="4">
        <f t="shared" si="0"/>
        <v>12496</v>
      </c>
      <c r="G11" s="16">
        <v>419.5</v>
      </c>
      <c r="H11" s="16">
        <v>244.87</v>
      </c>
      <c r="I11" s="16">
        <v>0</v>
      </c>
      <c r="J11" s="16">
        <v>34</v>
      </c>
      <c r="K11" s="16">
        <v>25</v>
      </c>
      <c r="L11" s="65">
        <v>40</v>
      </c>
      <c r="M11" s="74">
        <f t="shared" si="1"/>
        <v>34</v>
      </c>
      <c r="N11" s="32">
        <f t="shared" si="2"/>
        <v>31.571386201949132</v>
      </c>
      <c r="O11" s="32">
        <f t="shared" si="3"/>
        <v>42.000104677537436</v>
      </c>
      <c r="P11" s="10">
        <f t="shared" si="4"/>
        <v>294.44464685506512</v>
      </c>
      <c r="Q11" s="10">
        <f t="shared" si="5"/>
        <v>1039.5576696800001</v>
      </c>
      <c r="R11" s="10">
        <f t="shared" si="6"/>
        <v>0</v>
      </c>
      <c r="S11" s="10">
        <f t="shared" si="7"/>
        <v>68.203487346203033</v>
      </c>
      <c r="T11" s="10">
        <f t="shared" si="11"/>
        <v>12</v>
      </c>
      <c r="U11" s="10">
        <v>0</v>
      </c>
      <c r="V11" s="10">
        <f t="shared" si="8"/>
        <v>1414.2058038812684</v>
      </c>
      <c r="W11" s="10">
        <f t="shared" si="9"/>
        <v>296.98321881506632</v>
      </c>
      <c r="X11" s="75">
        <f t="shared" si="10"/>
        <v>1711.1890226963346</v>
      </c>
      <c r="Y11" s="70"/>
    </row>
    <row r="12" spans="1:39">
      <c r="A12" s="37"/>
      <c r="B12" s="64" t="s">
        <v>13</v>
      </c>
      <c r="C12" s="4">
        <v>2537.6799999999998</v>
      </c>
      <c r="D12" s="4">
        <v>4890</v>
      </c>
      <c r="E12" s="4">
        <v>5742.08</v>
      </c>
      <c r="F12" s="4">
        <f t="shared" si="0"/>
        <v>13169.76</v>
      </c>
      <c r="G12" s="16">
        <v>455.29</v>
      </c>
      <c r="H12" s="16">
        <v>813.66</v>
      </c>
      <c r="I12" s="16">
        <v>0</v>
      </c>
      <c r="J12" s="16">
        <v>40</v>
      </c>
      <c r="K12" s="16">
        <v>24</v>
      </c>
      <c r="L12" s="65">
        <v>25</v>
      </c>
      <c r="M12" s="74">
        <f t="shared" si="1"/>
        <v>50.823539554363435</v>
      </c>
      <c r="N12" s="32">
        <f t="shared" si="2"/>
        <v>31.571386201949132</v>
      </c>
      <c r="O12" s="32">
        <f t="shared" si="3"/>
        <v>31.571386201949132</v>
      </c>
      <c r="P12" s="10">
        <f t="shared" si="4"/>
        <v>370.51756782107884</v>
      </c>
      <c r="Q12" s="10">
        <f t="shared" si="5"/>
        <v>1107.3838563167999</v>
      </c>
      <c r="R12" s="10">
        <f t="shared" si="6"/>
        <v>0</v>
      </c>
      <c r="S12" s="10">
        <f t="shared" si="7"/>
        <v>75.5606117251249</v>
      </c>
      <c r="T12" s="10">
        <f t="shared" si="11"/>
        <v>12</v>
      </c>
      <c r="U12" s="10">
        <v>0</v>
      </c>
      <c r="V12" s="10">
        <f t="shared" si="8"/>
        <v>1565.4620358630036</v>
      </c>
      <c r="W12" s="10">
        <f t="shared" si="9"/>
        <v>328.74702753123074</v>
      </c>
      <c r="X12" s="75">
        <f t="shared" si="10"/>
        <v>1894.2090633942344</v>
      </c>
      <c r="Y12" s="70"/>
    </row>
    <row r="13" spans="1:39">
      <c r="A13" s="37"/>
      <c r="B13" s="64" t="s">
        <v>14</v>
      </c>
      <c r="C13" s="4">
        <f>477.73+1314.26</f>
        <v>1791.99</v>
      </c>
      <c r="D13" s="4">
        <f>134.3+2732.22</f>
        <v>2866.52</v>
      </c>
      <c r="E13" s="4">
        <f>505+2758.22</f>
        <v>3263.22</v>
      </c>
      <c r="F13" s="4">
        <f t="shared" si="0"/>
        <v>7921.73</v>
      </c>
      <c r="G13" s="16">
        <f>91.37+230.38</f>
        <v>321.75</v>
      </c>
      <c r="H13" s="16">
        <f>184+53.49</f>
        <v>237.49</v>
      </c>
      <c r="I13" s="16">
        <v>0</v>
      </c>
      <c r="J13" s="16">
        <v>27</v>
      </c>
      <c r="K13" s="16">
        <v>32</v>
      </c>
      <c r="L13" s="65">
        <v>23</v>
      </c>
      <c r="M13" s="74">
        <f t="shared" si="1"/>
        <v>27.999995894662419</v>
      </c>
      <c r="N13" s="32">
        <f t="shared" si="2"/>
        <v>32</v>
      </c>
      <c r="O13" s="32">
        <f t="shared" si="3"/>
        <v>31.571386201949132</v>
      </c>
      <c r="P13" s="10">
        <f t="shared" si="4"/>
        <v>258.70784746933219</v>
      </c>
      <c r="Q13" s="10">
        <f t="shared" si="5"/>
        <v>674.80553870039989</v>
      </c>
      <c r="R13" s="10">
        <f t="shared" si="6"/>
        <v>0</v>
      </c>
      <c r="S13" s="10">
        <f t="shared" si="7"/>
        <v>47.72770454140727</v>
      </c>
      <c r="T13" s="10">
        <f t="shared" si="11"/>
        <v>12</v>
      </c>
      <c r="U13" s="10">
        <v>0</v>
      </c>
      <c r="V13" s="10">
        <f t="shared" si="8"/>
        <v>993.24109071113935</v>
      </c>
      <c r="W13" s="10">
        <f t="shared" si="9"/>
        <v>208.58062904933925</v>
      </c>
      <c r="X13" s="75">
        <f t="shared" si="10"/>
        <v>1201.8217197604786</v>
      </c>
      <c r="Y13" s="70"/>
      <c r="AA13" s="15"/>
    </row>
    <row r="14" spans="1:39">
      <c r="A14" s="37"/>
      <c r="B14" s="64" t="s">
        <v>15</v>
      </c>
      <c r="C14" s="4">
        <v>2030</v>
      </c>
      <c r="D14" s="4">
        <v>3804</v>
      </c>
      <c r="E14" s="4">
        <v>4101</v>
      </c>
      <c r="F14" s="4">
        <f t="shared" si="0"/>
        <v>9935</v>
      </c>
      <c r="G14" s="16">
        <v>345</v>
      </c>
      <c r="H14" s="16">
        <v>268</v>
      </c>
      <c r="I14" s="16">
        <v>0</v>
      </c>
      <c r="J14" s="16">
        <v>28</v>
      </c>
      <c r="K14" s="16">
        <v>34</v>
      </c>
      <c r="L14" s="65">
        <v>38</v>
      </c>
      <c r="M14" s="74">
        <f t="shared" si="1"/>
        <v>28</v>
      </c>
      <c r="N14" s="32">
        <f t="shared" si="2"/>
        <v>34</v>
      </c>
      <c r="O14" s="32">
        <f t="shared" si="3"/>
        <v>38</v>
      </c>
      <c r="P14" s="10">
        <f t="shared" si="4"/>
        <v>269.326277</v>
      </c>
      <c r="Q14" s="10">
        <f t="shared" si="5"/>
        <v>842.8387042999999</v>
      </c>
      <c r="R14" s="10">
        <f t="shared" si="6"/>
        <v>0</v>
      </c>
      <c r="S14" s="10">
        <f t="shared" si="7"/>
        <v>56.861618071253773</v>
      </c>
      <c r="T14" s="10">
        <f t="shared" si="11"/>
        <v>12</v>
      </c>
      <c r="U14" s="10">
        <v>0</v>
      </c>
      <c r="V14" s="10">
        <f t="shared" si="8"/>
        <v>1181.0265993712537</v>
      </c>
      <c r="W14" s="10">
        <f t="shared" si="9"/>
        <v>248.01558586796327</v>
      </c>
      <c r="X14" s="75">
        <f t="shared" si="10"/>
        <v>1429.0421852392169</v>
      </c>
      <c r="Y14" s="70"/>
    </row>
    <row r="15" spans="1:39">
      <c r="A15" s="37"/>
      <c r="B15" s="64" t="s">
        <v>49</v>
      </c>
      <c r="C15" s="4">
        <v>234</v>
      </c>
      <c r="D15" s="4">
        <v>468</v>
      </c>
      <c r="E15" s="4">
        <v>343</v>
      </c>
      <c r="F15" s="4">
        <f t="shared" si="0"/>
        <v>1045</v>
      </c>
      <c r="G15" s="16">
        <v>67</v>
      </c>
      <c r="H15" s="16">
        <v>118</v>
      </c>
      <c r="I15" s="16">
        <v>0</v>
      </c>
      <c r="J15" s="16">
        <v>34</v>
      </c>
      <c r="K15" s="16">
        <v>27</v>
      </c>
      <c r="L15" s="65">
        <v>39</v>
      </c>
      <c r="M15" s="74">
        <f t="shared" si="1"/>
        <v>34</v>
      </c>
      <c r="N15" s="32">
        <f t="shared" si="2"/>
        <v>31.571386201949132</v>
      </c>
      <c r="O15" s="32">
        <f t="shared" si="3"/>
        <v>39.000104677537436</v>
      </c>
      <c r="P15" s="10">
        <f t="shared" si="4"/>
        <v>292.3420441050651</v>
      </c>
      <c r="Q15" s="10">
        <f t="shared" si="5"/>
        <v>91.149913060000003</v>
      </c>
      <c r="R15" s="10">
        <f t="shared" si="6"/>
        <v>0</v>
      </c>
      <c r="S15" s="10">
        <f t="shared" si="7"/>
        <v>19.606779181474259</v>
      </c>
      <c r="T15" s="10">
        <f t="shared" si="11"/>
        <v>12</v>
      </c>
      <c r="U15" s="10">
        <v>0</v>
      </c>
      <c r="V15" s="10">
        <f t="shared" si="8"/>
        <v>415.0987363465394</v>
      </c>
      <c r="W15" s="10">
        <f t="shared" si="9"/>
        <v>87.170734632773275</v>
      </c>
      <c r="X15" s="75">
        <f t="shared" si="10"/>
        <v>502.2694709793127</v>
      </c>
      <c r="Y15" s="70"/>
    </row>
    <row r="16" spans="1:39">
      <c r="A16" s="37"/>
      <c r="B16" s="64" t="s">
        <v>16</v>
      </c>
      <c r="C16" s="4">
        <v>3</v>
      </c>
      <c r="D16" s="4">
        <v>11</v>
      </c>
      <c r="E16" s="4">
        <v>25</v>
      </c>
      <c r="F16" s="4">
        <f t="shared" si="0"/>
        <v>39</v>
      </c>
      <c r="G16" s="16">
        <v>0</v>
      </c>
      <c r="H16" s="16">
        <v>0</v>
      </c>
      <c r="I16" s="16">
        <v>0</v>
      </c>
      <c r="J16" s="16">
        <v>25</v>
      </c>
      <c r="K16" s="16">
        <v>27</v>
      </c>
      <c r="L16" s="65">
        <v>22</v>
      </c>
      <c r="M16" s="74">
        <f t="shared" si="1"/>
        <v>27.999995894662419</v>
      </c>
      <c r="N16" s="32">
        <f t="shared" si="2"/>
        <v>31.571386201949132</v>
      </c>
      <c r="O16" s="32">
        <f t="shared" si="3"/>
        <v>31.571386201949132</v>
      </c>
      <c r="P16" s="10">
        <f t="shared" si="4"/>
        <v>257.39783179263787</v>
      </c>
      <c r="Q16" s="10">
        <f t="shared" si="5"/>
        <v>3.0135010599999998</v>
      </c>
      <c r="R16" s="10">
        <f t="shared" si="6"/>
        <v>0</v>
      </c>
      <c r="S16" s="10">
        <f t="shared" si="7"/>
        <v>13.314040631619767</v>
      </c>
      <c r="T16" s="10">
        <f t="shared" si="11"/>
        <v>12</v>
      </c>
      <c r="U16" s="10">
        <v>0</v>
      </c>
      <c r="V16" s="10">
        <f t="shared" si="8"/>
        <v>285.72537348425766</v>
      </c>
      <c r="W16" s="10">
        <f t="shared" si="9"/>
        <v>60.002328431694103</v>
      </c>
      <c r="X16" s="75">
        <f t="shared" si="10"/>
        <v>345.72770191595174</v>
      </c>
      <c r="Y16" s="70"/>
    </row>
    <row r="17" spans="1:41" ht="13.5" thickBot="1">
      <c r="A17" s="37"/>
      <c r="B17" s="66" t="s">
        <v>17</v>
      </c>
      <c r="C17" s="67">
        <v>6</v>
      </c>
      <c r="D17" s="67">
        <v>21</v>
      </c>
      <c r="E17" s="67">
        <v>2</v>
      </c>
      <c r="F17" s="4">
        <f t="shared" si="0"/>
        <v>29</v>
      </c>
      <c r="G17" s="68">
        <v>0</v>
      </c>
      <c r="H17" s="68">
        <v>0</v>
      </c>
      <c r="I17" s="68">
        <v>0</v>
      </c>
      <c r="J17" s="68">
        <v>28</v>
      </c>
      <c r="K17" s="68">
        <v>40</v>
      </c>
      <c r="L17" s="69">
        <v>20</v>
      </c>
      <c r="M17" s="76">
        <f t="shared" si="1"/>
        <v>28</v>
      </c>
      <c r="N17" s="77">
        <f t="shared" si="2"/>
        <v>42.000104677537436</v>
      </c>
      <c r="O17" s="77">
        <f t="shared" si="3"/>
        <v>31.571386201949132</v>
      </c>
      <c r="P17" s="78">
        <f t="shared" si="4"/>
        <v>289.27219858638227</v>
      </c>
      <c r="Q17" s="78">
        <f t="shared" si="5"/>
        <v>2.7085080799999997</v>
      </c>
      <c r="R17" s="78">
        <f t="shared" si="6"/>
        <v>0</v>
      </c>
      <c r="S17" s="78">
        <f t="shared" si="7"/>
        <v>14.928086844842118</v>
      </c>
      <c r="T17" s="78">
        <f t="shared" si="11"/>
        <v>12</v>
      </c>
      <c r="U17" s="78">
        <v>0</v>
      </c>
      <c r="V17" s="78">
        <f t="shared" si="8"/>
        <v>318.90879351122442</v>
      </c>
      <c r="W17" s="78">
        <f t="shared" si="9"/>
        <v>66.970846637357127</v>
      </c>
      <c r="X17" s="79">
        <f t="shared" si="10"/>
        <v>385.87964014858153</v>
      </c>
      <c r="Y17" s="70"/>
    </row>
    <row r="18" spans="1:41" ht="13.5" thickBot="1">
      <c r="B18" s="59"/>
      <c r="C18" s="89"/>
      <c r="D18" s="89"/>
      <c r="E18" s="89"/>
      <c r="F18" s="90"/>
      <c r="G18" s="60"/>
      <c r="H18" s="60"/>
      <c r="I18" s="60"/>
      <c r="J18" s="60"/>
      <c r="K18" s="60"/>
      <c r="L18" s="60"/>
      <c r="M18" s="42"/>
      <c r="N18" s="42"/>
      <c r="O18" s="42"/>
      <c r="P18" s="80"/>
      <c r="Q18" s="80"/>
      <c r="R18" s="80"/>
      <c r="S18" s="80"/>
      <c r="T18" s="80"/>
      <c r="U18" s="80"/>
      <c r="V18" s="80"/>
      <c r="W18" s="80"/>
      <c r="X18" s="81"/>
      <c r="Y18" s="14"/>
    </row>
    <row r="19" spans="1:41" ht="13.5" thickBot="1">
      <c r="B19" s="3" t="s">
        <v>46</v>
      </c>
      <c r="C19" s="92">
        <f>SUM(C6:C17)</f>
        <v>10949.27</v>
      </c>
      <c r="D19" s="93">
        <f>SUM(D6:D17)</f>
        <v>21556.52</v>
      </c>
      <c r="E19" s="93">
        <f>SUM(E6:E17)</f>
        <v>24602.9</v>
      </c>
      <c r="F19" s="94">
        <f>SUM(F6:F17)</f>
        <v>57108.69</v>
      </c>
      <c r="G19" s="88"/>
      <c r="H19" s="34"/>
      <c r="J19" s="15" t="s">
        <v>46</v>
      </c>
      <c r="K19" s="10">
        <f>X19</f>
        <v>10710.579770836041</v>
      </c>
      <c r="L19" s="13"/>
      <c r="O19" s="37"/>
      <c r="P19" s="83">
        <f t="shared" ref="P19:U19" si="12">SUM(P6:P17)</f>
        <v>3467.6886878506243</v>
      </c>
      <c r="Q19" s="84">
        <f t="shared" si="12"/>
        <v>4808.537181113199</v>
      </c>
      <c r="R19" s="84">
        <f t="shared" si="12"/>
        <v>7.9482829039999983</v>
      </c>
      <c r="S19" s="84">
        <f t="shared" si="12"/>
        <v>423.54466700493742</v>
      </c>
      <c r="T19" s="84">
        <f t="shared" si="12"/>
        <v>144</v>
      </c>
      <c r="U19" s="84">
        <f t="shared" si="12"/>
        <v>0</v>
      </c>
      <c r="V19" s="85">
        <f>SUM(V6:V17)</f>
        <v>8851.7188188727614</v>
      </c>
      <c r="W19" s="86">
        <f>SUM(W6:W17)</f>
        <v>1858.8609519632798</v>
      </c>
      <c r="X19" s="87">
        <f>SUM(X6:X17)</f>
        <v>10710.579770836041</v>
      </c>
      <c r="Y19" s="38"/>
      <c r="AL19" s="1">
        <f>2*62.118</f>
        <v>124.236</v>
      </c>
      <c r="AM19" s="1">
        <f>AL7+AL19</f>
        <v>213</v>
      </c>
      <c r="AN19" s="1">
        <f>AM19/3</f>
        <v>71</v>
      </c>
      <c r="AO19" s="1">
        <f>AN19/3</f>
        <v>23.666666666666668</v>
      </c>
    </row>
    <row r="20" spans="1:41">
      <c r="B20" s="3" t="s">
        <v>50</v>
      </c>
      <c r="C20" s="91">
        <f>AVERAGE(C6:C17)</f>
        <v>912.43916666666667</v>
      </c>
      <c r="D20" s="91">
        <f>AVERAGE(D6:D17)</f>
        <v>1796.3766666666668</v>
      </c>
      <c r="E20" s="91">
        <f>AVERAGE(E6:E17)</f>
        <v>2050.2416666666668</v>
      </c>
      <c r="F20" s="91">
        <f>AVERAGE(F6:F17)</f>
        <v>4759.0574999999999</v>
      </c>
      <c r="P20" s="82">
        <f>AVERAGE(P6:P17)</f>
        <v>288.97405732088538</v>
      </c>
      <c r="Q20" s="82">
        <f>AVERAGE(Q6:Q17)</f>
        <v>400.71143175943325</v>
      </c>
      <c r="R20" s="82">
        <f>AVERAGE(R6:R17)</f>
        <v>0.66235690866666652</v>
      </c>
      <c r="S20" s="82"/>
      <c r="T20" s="71"/>
      <c r="U20" s="42"/>
      <c r="V20" s="42"/>
      <c r="W20" s="42"/>
      <c r="X20" s="82">
        <f>AVERAGE(X6:X17)</f>
        <v>892.54831423633675</v>
      </c>
      <c r="Y20" s="13"/>
    </row>
    <row r="22" spans="1:41" ht="13.5" thickBot="1">
      <c r="B22" s="39"/>
      <c r="C22" s="40" t="s">
        <v>35</v>
      </c>
      <c r="D22" s="41"/>
      <c r="E22" s="39"/>
      <c r="F22" s="40"/>
      <c r="G22" s="39"/>
      <c r="H22" s="39"/>
      <c r="I22" s="41"/>
    </row>
    <row r="23" spans="1:41" ht="13.5" thickBot="1">
      <c r="A23" s="37"/>
      <c r="B23" s="54" t="s">
        <v>7</v>
      </c>
      <c r="C23" s="55" t="s">
        <v>36</v>
      </c>
      <c r="D23" s="55" t="s">
        <v>37</v>
      </c>
      <c r="E23" s="55" t="s">
        <v>38</v>
      </c>
      <c r="F23" s="55" t="s">
        <v>39</v>
      </c>
      <c r="G23" s="55" t="s">
        <v>40</v>
      </c>
      <c r="H23" s="55" t="s">
        <v>41</v>
      </c>
      <c r="I23" s="109" t="s">
        <v>100</v>
      </c>
      <c r="J23" s="38"/>
      <c r="L23" s="5"/>
      <c r="M23" s="5" t="s">
        <v>84</v>
      </c>
      <c r="N23" s="5"/>
      <c r="O23" s="5"/>
      <c r="P23" s="2"/>
      <c r="Q23" s="2" t="s">
        <v>85</v>
      </c>
      <c r="R23" s="2"/>
      <c r="S23" s="2"/>
    </row>
    <row r="24" spans="1:41" ht="13.5" thickBot="1">
      <c r="A24" s="37"/>
      <c r="B24" s="51" t="s">
        <v>48</v>
      </c>
      <c r="C24" s="52">
        <f>C6/SQRT(C6^2+G6^2)</f>
        <v>1</v>
      </c>
      <c r="D24" s="52">
        <f>G6-0.33*C6</f>
        <v>-5.61</v>
      </c>
      <c r="E24" s="52">
        <f>IF(C24&lt;0.8,D24*0.062332,IF(C24&lt;0.95,D24*0.041554,0))</f>
        <v>0</v>
      </c>
      <c r="F24" s="52">
        <f>D6/SQRT(D6^2+H6^2)</f>
        <v>1</v>
      </c>
      <c r="G24" s="52">
        <f>H6-0.33*D6</f>
        <v>-18.150000000000002</v>
      </c>
      <c r="H24" s="52">
        <f>IF(F24&lt;0.8,G24*0.062332,IF(F24&lt;0.95,G24*0.041554,0))</f>
        <v>0</v>
      </c>
      <c r="I24" s="53">
        <f>E24+H24</f>
        <v>0</v>
      </c>
      <c r="J24" s="38"/>
      <c r="K24" s="3"/>
      <c r="L24" s="17" t="s">
        <v>86</v>
      </c>
      <c r="M24" s="18">
        <f>MIN(C24:C35)</f>
        <v>0.864528574713881</v>
      </c>
      <c r="N24" s="19" t="s">
        <v>87</v>
      </c>
      <c r="O24" s="102">
        <f>TAN(ACOS(M24))</f>
        <v>0.58133841131664843</v>
      </c>
      <c r="P24" s="17" t="s">
        <v>86</v>
      </c>
      <c r="Q24" s="18">
        <f>MIN(F24:F35)</f>
        <v>0.85799721737539281</v>
      </c>
      <c r="R24" s="19" t="s">
        <v>87</v>
      </c>
      <c r="S24" s="102">
        <f>TAN(ACOS(Q24))</f>
        <v>0.59866666666666646</v>
      </c>
      <c r="T24" s="11"/>
      <c r="U24" s="11"/>
    </row>
    <row r="25" spans="1:41">
      <c r="A25" s="37"/>
      <c r="B25" s="46" t="s">
        <v>8</v>
      </c>
      <c r="C25" s="11">
        <f>C7/SQRT(C7^2+G7^2)</f>
        <v>1</v>
      </c>
      <c r="D25" s="11">
        <f>G7-0.33*C7</f>
        <v>-2.2440000000000002</v>
      </c>
      <c r="E25" s="11">
        <f t="shared" ref="E25:E35" si="13">IF(C25&lt;0.8,D25*0.062332,IF(C25&lt;0.95,D25*0.041554,0))</f>
        <v>0</v>
      </c>
      <c r="F25" s="11">
        <f>D7/SQRT(D7^2+H7^2)</f>
        <v>1</v>
      </c>
      <c r="G25" s="11">
        <f>H7-0.33*D7</f>
        <v>-7.2600000000000007</v>
      </c>
      <c r="H25" s="11">
        <f t="shared" ref="H25:H35" si="14">IF(F25&lt;0.8,G25*0.062332,IF(F25&lt;0.95,G25*0.041554,0))</f>
        <v>0</v>
      </c>
      <c r="I25" s="47">
        <f t="shared" ref="I25:I35" si="15">E25+H25</f>
        <v>0</v>
      </c>
      <c r="J25" s="38"/>
      <c r="K25" s="14"/>
      <c r="L25" s="20" t="s">
        <v>88</v>
      </c>
      <c r="M25" s="100">
        <f>MAX(J6:J17)</f>
        <v>40</v>
      </c>
      <c r="N25" s="21"/>
      <c r="O25" s="6"/>
      <c r="P25" s="20" t="s">
        <v>88</v>
      </c>
      <c r="Q25" s="101">
        <f>MAX(K6:K17)</f>
        <v>40</v>
      </c>
      <c r="R25" s="21"/>
      <c r="S25" s="102"/>
      <c r="T25" s="11"/>
      <c r="U25" s="11"/>
    </row>
    <row r="26" spans="1:41">
      <c r="A26" s="37"/>
      <c r="B26" s="46" t="s">
        <v>9</v>
      </c>
      <c r="C26" s="11">
        <f>C8/SQRT(C8^2+G8^2)</f>
        <v>1</v>
      </c>
      <c r="D26" s="11">
        <f>G8-0.33*C8</f>
        <v>-0.33</v>
      </c>
      <c r="E26" s="11">
        <f>IF(C26&lt;0.8,D26*0.062332,IF(C26&lt;0.95,D26*0.041554,0))</f>
        <v>0</v>
      </c>
      <c r="F26" s="11">
        <f>D8/SQRT(D8^2+H8^2)</f>
        <v>1</v>
      </c>
      <c r="G26" s="11">
        <f>H8-0.33*D8</f>
        <v>-0.33</v>
      </c>
      <c r="H26" s="11">
        <f t="shared" si="14"/>
        <v>0</v>
      </c>
      <c r="I26" s="47">
        <f t="shared" si="15"/>
        <v>0</v>
      </c>
      <c r="J26" s="38"/>
      <c r="K26" s="14"/>
      <c r="L26" s="20" t="s">
        <v>89</v>
      </c>
      <c r="M26" s="2">
        <v>0.98</v>
      </c>
      <c r="N26" s="21" t="s">
        <v>90</v>
      </c>
      <c r="O26" s="103">
        <f>TAN(ACOS(M26))</f>
        <v>0.20305866063400418</v>
      </c>
      <c r="P26" s="20" t="s">
        <v>89</v>
      </c>
      <c r="Q26" s="2">
        <v>0.98</v>
      </c>
      <c r="R26" s="21" t="s">
        <v>90</v>
      </c>
      <c r="S26" s="103">
        <f>TAN(ACOS(Q26))</f>
        <v>0.20305866063400418</v>
      </c>
      <c r="T26" s="11"/>
      <c r="U26" s="11"/>
    </row>
    <row r="27" spans="1:41">
      <c r="A27" s="37"/>
      <c r="B27" s="46" t="s">
        <v>10</v>
      </c>
      <c r="C27" s="11">
        <f>C9/SQRT(C9^2+G9^2)</f>
        <v>0.864528574713881</v>
      </c>
      <c r="D27" s="11">
        <f>G9-0.33*C9</f>
        <v>46.195999999999991</v>
      </c>
      <c r="E27" s="11">
        <f t="shared" si="13"/>
        <v>1.9196285839999996</v>
      </c>
      <c r="F27" s="11">
        <f>D9/SQRT(D9^2+H9^2)</f>
        <v>0.85799721737539281</v>
      </c>
      <c r="G27" s="11">
        <f>H9-0.33*D9</f>
        <v>145.07999999999996</v>
      </c>
      <c r="H27" s="11">
        <f t="shared" si="14"/>
        <v>6.0286543199999985</v>
      </c>
      <c r="I27" s="47">
        <f t="shared" si="15"/>
        <v>7.9482829039999983</v>
      </c>
      <c r="J27" s="38"/>
      <c r="K27" s="14"/>
      <c r="L27" s="20"/>
      <c r="M27" s="2"/>
      <c r="N27" s="2"/>
      <c r="O27" s="6"/>
      <c r="P27" s="20"/>
      <c r="Q27" s="2"/>
      <c r="R27" s="2"/>
      <c r="S27" s="6"/>
      <c r="T27" s="11"/>
      <c r="U27" s="11"/>
    </row>
    <row r="28" spans="1:41" ht="13.5" thickBot="1">
      <c r="A28" s="37"/>
      <c r="B28" s="46" t="s">
        <v>11</v>
      </c>
      <c r="C28" s="11">
        <f>C10/SQRT(C10^2+G10^2)</f>
        <v>0.9773527959070093</v>
      </c>
      <c r="D28" s="11">
        <f>G10-0.33*C10</f>
        <v>-226.95999999999998</v>
      </c>
      <c r="E28" s="11">
        <f t="shared" si="13"/>
        <v>0</v>
      </c>
      <c r="F28" s="11">
        <f>D10/SQRT(D10^2+H10^2)</f>
        <v>0.97937175005181543</v>
      </c>
      <c r="G28" s="11">
        <f>H10-0.33*D10</f>
        <v>-526.37</v>
      </c>
      <c r="H28" s="11">
        <f t="shared" si="14"/>
        <v>0</v>
      </c>
      <c r="I28" s="47">
        <f t="shared" si="15"/>
        <v>0</v>
      </c>
      <c r="J28" s="38"/>
      <c r="K28" s="14"/>
      <c r="L28" s="22" t="s">
        <v>91</v>
      </c>
      <c r="M28" s="7"/>
      <c r="N28" s="104">
        <f>M25*(O24-O26)</f>
        <v>15.13119002730577</v>
      </c>
      <c r="O28" s="8"/>
      <c r="P28" s="22" t="s">
        <v>91</v>
      </c>
      <c r="Q28" s="7"/>
      <c r="R28" s="104">
        <f>Q25*(S24-S26)</f>
        <v>15.824320241306491</v>
      </c>
      <c r="S28" s="8"/>
      <c r="T28" s="11"/>
      <c r="U28" s="11"/>
    </row>
    <row r="29" spans="1:41" ht="13.5" thickBot="1">
      <c r="A29" s="37"/>
      <c r="B29" s="46" t="s">
        <v>12</v>
      </c>
      <c r="C29" s="11">
        <f>C11/SQRT(C11^2+G11^2)</f>
        <v>0.98128910208586517</v>
      </c>
      <c r="D29" s="11">
        <f>G11-0.33*C11</f>
        <v>-286.04000000000008</v>
      </c>
      <c r="E29" s="11">
        <f t="shared" si="13"/>
        <v>0</v>
      </c>
      <c r="F29" s="11">
        <f>D11/SQRT(D11^2+H11^2)</f>
        <v>0.99859954800807593</v>
      </c>
      <c r="G29" s="11">
        <f>H11-0.33*D11</f>
        <v>-1280.3899999999999</v>
      </c>
      <c r="H29" s="11">
        <f t="shared" si="14"/>
        <v>0</v>
      </c>
      <c r="I29" s="47">
        <f t="shared" si="15"/>
        <v>0</v>
      </c>
      <c r="J29" s="38"/>
      <c r="K29" s="14"/>
      <c r="L29" s="40"/>
      <c r="M29" s="40"/>
      <c r="N29" s="40"/>
      <c r="O29" s="40"/>
      <c r="P29" s="40"/>
      <c r="T29" s="11"/>
      <c r="U29" s="11"/>
    </row>
    <row r="30" spans="1:41" ht="13.5" thickBot="1">
      <c r="A30" s="37"/>
      <c r="B30" s="46" t="s">
        <v>13</v>
      </c>
      <c r="C30" s="11">
        <f>C12/SQRT(C12^2+G12^2)</f>
        <v>0.98428408800722067</v>
      </c>
      <c r="D30" s="11">
        <f>G12-0.33*C12</f>
        <v>-382.14439999999996</v>
      </c>
      <c r="E30" s="11">
        <f>IF(C30&lt;0.8,D30*0.062332,IF(C30&lt;0.95,D30*0.041554,0))</f>
        <v>0</v>
      </c>
      <c r="F30" s="11">
        <f>D12/SQRT(D12^2+H12^2)</f>
        <v>0.98643772317607303</v>
      </c>
      <c r="G30" s="11">
        <f>H12-0.33*D12</f>
        <v>-800.04000000000008</v>
      </c>
      <c r="H30" s="11">
        <f>IF(F30&lt;0.8,G30*0.062332,IF(F30&lt;0.95,G30*0.041554,0))</f>
        <v>0</v>
      </c>
      <c r="I30" s="47">
        <f t="shared" si="15"/>
        <v>0</v>
      </c>
      <c r="J30" s="38"/>
      <c r="K30" s="105"/>
      <c r="L30" s="106" t="s">
        <v>92</v>
      </c>
      <c r="M30" s="107"/>
      <c r="N30" s="108"/>
      <c r="O30" s="56">
        <f>ROUNDUP(MAX(N28,R28),0)</f>
        <v>16</v>
      </c>
      <c r="P30" s="57" t="s">
        <v>93</v>
      </c>
      <c r="Q30" s="38"/>
      <c r="T30" s="11"/>
      <c r="U30" s="11"/>
    </row>
    <row r="31" spans="1:41">
      <c r="A31" s="37"/>
      <c r="B31" s="46" t="s">
        <v>14</v>
      </c>
      <c r="C31" s="11">
        <f>C13/SQRT(C13^2+G13^2)</f>
        <v>0.98426062593558783</v>
      </c>
      <c r="D31" s="11">
        <f>G13-0.33*C13</f>
        <v>-269.60670000000005</v>
      </c>
      <c r="E31" s="11">
        <f>IF(C31&lt;0.8,D31*0.062332,IF(C31&lt;0.95,D31*0.041554,0))</f>
        <v>0</v>
      </c>
      <c r="F31" s="11">
        <f>D13/SQRT(D13^2+H13^2)</f>
        <v>0.99658554066800376</v>
      </c>
      <c r="G31" s="11">
        <f>H13-0.33*D13</f>
        <v>-708.46159999999998</v>
      </c>
      <c r="H31" s="11">
        <f>IF(F31&lt;0.8,G31*0.062332,IF(F31&lt;0.95,G31*0.041554,0))</f>
        <v>0</v>
      </c>
      <c r="I31" s="47">
        <f>E31+H31</f>
        <v>0</v>
      </c>
      <c r="J31" s="38"/>
      <c r="K31" s="14"/>
      <c r="L31" s="42"/>
      <c r="M31" s="42"/>
      <c r="N31" s="42"/>
      <c r="O31" s="42"/>
      <c r="P31" s="42"/>
      <c r="T31" s="11"/>
      <c r="U31" s="11"/>
    </row>
    <row r="32" spans="1:41">
      <c r="A32" s="37"/>
      <c r="B32" s="46" t="s">
        <v>15</v>
      </c>
      <c r="C32" s="11">
        <f>C14/SQRT(C14^2+G14^2)</f>
        <v>0.98586386964606665</v>
      </c>
      <c r="D32" s="11">
        <f>G14-0.33*C14</f>
        <v>-324.89999999999998</v>
      </c>
      <c r="E32" s="11">
        <f t="shared" si="13"/>
        <v>0</v>
      </c>
      <c r="F32" s="11">
        <f>D14/SQRT(D14^2+H14^2)</f>
        <v>0.99752744748346389</v>
      </c>
      <c r="G32" s="11">
        <f>H14-0.33*D14</f>
        <v>-987.32000000000016</v>
      </c>
      <c r="H32" s="11">
        <f t="shared" si="14"/>
        <v>0</v>
      </c>
      <c r="I32" s="47">
        <f t="shared" si="15"/>
        <v>0</v>
      </c>
      <c r="J32" s="38"/>
      <c r="K32" s="14"/>
      <c r="T32" s="11"/>
      <c r="U32" s="11"/>
    </row>
    <row r="33" spans="1:25">
      <c r="A33" s="37"/>
      <c r="B33" s="46" t="s">
        <v>49</v>
      </c>
      <c r="C33" s="11">
        <f>C15/SQRT(C15^2+G15^2)</f>
        <v>0.96136876005930183</v>
      </c>
      <c r="D33" s="11">
        <f>G15-0.33*C15</f>
        <v>-10.219999999999999</v>
      </c>
      <c r="E33" s="11">
        <f>IF(C33&lt;0.8,D33*0.062332,IF(C33&lt;0.95,D33*0.041554,0))</f>
        <v>0</v>
      </c>
      <c r="F33" s="11">
        <f>D15/SQRT(D15^2+H15^2)</f>
        <v>0.96965303250771828</v>
      </c>
      <c r="G33" s="11">
        <f>H15-0.33*D15</f>
        <v>-36.44</v>
      </c>
      <c r="H33" s="11">
        <f t="shared" si="14"/>
        <v>0</v>
      </c>
      <c r="I33" s="47">
        <f t="shared" si="15"/>
        <v>0</v>
      </c>
      <c r="J33" s="38"/>
      <c r="K33" s="14"/>
      <c r="T33" s="11"/>
      <c r="U33" s="11"/>
    </row>
    <row r="34" spans="1:25">
      <c r="A34" s="37"/>
      <c r="B34" s="46" t="s">
        <v>16</v>
      </c>
      <c r="C34" s="11">
        <f>C16/SQRT(C16^2+G16^2)</f>
        <v>1</v>
      </c>
      <c r="D34" s="11">
        <f>G16-0.33*C16</f>
        <v>-0.99</v>
      </c>
      <c r="E34" s="11">
        <f t="shared" si="13"/>
        <v>0</v>
      </c>
      <c r="F34" s="11">
        <f>D16/SQRT(D16^2+H16^2)</f>
        <v>1</v>
      </c>
      <c r="G34" s="11">
        <f>H16-0.33*D16</f>
        <v>-3.6300000000000003</v>
      </c>
      <c r="H34" s="11">
        <f t="shared" si="14"/>
        <v>0</v>
      </c>
      <c r="I34" s="47">
        <f t="shared" si="15"/>
        <v>0</v>
      </c>
      <c r="J34" s="38"/>
      <c r="K34" s="14"/>
      <c r="U34" s="11"/>
    </row>
    <row r="35" spans="1:25" ht="13.5" thickBot="1">
      <c r="A35" s="37"/>
      <c r="B35" s="48" t="s">
        <v>17</v>
      </c>
      <c r="C35" s="49">
        <f>C17/SQRT(C17^2+G17^2)</f>
        <v>1</v>
      </c>
      <c r="D35" s="49">
        <f>G17-0.33*C17</f>
        <v>-1.98</v>
      </c>
      <c r="E35" s="49">
        <f t="shared" si="13"/>
        <v>0</v>
      </c>
      <c r="F35" s="49">
        <f>D17/SQRT(D17^2+H17^2)</f>
        <v>1</v>
      </c>
      <c r="G35" s="49">
        <f>H17-0.33*D17</f>
        <v>-6.9300000000000006</v>
      </c>
      <c r="H35" s="49">
        <f t="shared" si="14"/>
        <v>0</v>
      </c>
      <c r="I35" s="50">
        <f t="shared" si="15"/>
        <v>0</v>
      </c>
      <c r="J35" s="38"/>
      <c r="K35" s="14"/>
    </row>
    <row r="36" spans="1:25">
      <c r="B36" s="42"/>
      <c r="C36" s="42"/>
      <c r="D36" s="42"/>
      <c r="E36" s="42"/>
      <c r="F36" s="42"/>
      <c r="G36" s="42"/>
      <c r="H36" s="42"/>
      <c r="I36" s="42"/>
      <c r="K36" s="14"/>
    </row>
    <row r="37" spans="1:25">
      <c r="E37" s="3"/>
      <c r="J37" s="3"/>
      <c r="O37" s="3"/>
      <c r="Y37" s="35"/>
    </row>
    <row r="39" spans="1:25" ht="13.5" thickBot="1">
      <c r="D39" s="40"/>
      <c r="E39" s="40"/>
      <c r="F39" s="40"/>
      <c r="G39" s="40"/>
      <c r="H39" s="40"/>
      <c r="I39" s="40"/>
      <c r="J39" s="40"/>
    </row>
    <row r="40" spans="1:25" ht="13.5" thickBot="1">
      <c r="B40" s="37"/>
      <c r="C40" s="106" t="s">
        <v>101</v>
      </c>
      <c r="D40" s="107"/>
      <c r="E40" s="122"/>
      <c r="F40" s="106" t="s">
        <v>102</v>
      </c>
      <c r="G40" s="107"/>
      <c r="H40" s="122"/>
      <c r="I40" s="121" t="s">
        <v>103</v>
      </c>
      <c r="K40" s="38"/>
      <c r="L40" s="3"/>
      <c r="M40" s="13"/>
    </row>
    <row r="41" spans="1:25">
      <c r="B41" s="111" t="s">
        <v>6</v>
      </c>
      <c r="C41" s="43" t="s">
        <v>31</v>
      </c>
      <c r="D41" s="44" t="s">
        <v>33</v>
      </c>
      <c r="E41" s="61" t="s">
        <v>46</v>
      </c>
      <c r="F41" s="43" t="s">
        <v>31</v>
      </c>
      <c r="G41" s="44" t="s">
        <v>33</v>
      </c>
      <c r="H41" s="61" t="s">
        <v>46</v>
      </c>
      <c r="I41" s="118"/>
      <c r="K41" s="38"/>
    </row>
    <row r="42" spans="1:25">
      <c r="B42" s="112" t="s">
        <v>7</v>
      </c>
      <c r="C42" s="62" t="s">
        <v>32</v>
      </c>
      <c r="D42" s="3" t="s">
        <v>32</v>
      </c>
      <c r="E42" s="63" t="s">
        <v>32</v>
      </c>
      <c r="F42" s="62" t="s">
        <v>32</v>
      </c>
      <c r="G42" s="3" t="s">
        <v>32</v>
      </c>
      <c r="H42" s="63" t="s">
        <v>32</v>
      </c>
      <c r="I42" s="63" t="s">
        <v>32</v>
      </c>
      <c r="K42" s="38"/>
    </row>
    <row r="43" spans="1:25">
      <c r="B43" s="113" t="s">
        <v>48</v>
      </c>
      <c r="C43" s="116">
        <f>ACTUAL!P6</f>
        <v>300.38101499999999</v>
      </c>
      <c r="D43" s="10">
        <f>ACTUAL!Q6</f>
        <v>12.745616000000002</v>
      </c>
      <c r="E43" s="75">
        <f>ACTUAL!X6</f>
        <v>412.77437213549308</v>
      </c>
      <c r="F43" s="116">
        <f>P6</f>
        <v>342.91662626764531</v>
      </c>
      <c r="G43" s="10">
        <f>Q6</f>
        <v>8.761282679999999</v>
      </c>
      <c r="H43" s="75">
        <f>X6</f>
        <v>461.80634027256406</v>
      </c>
      <c r="I43" s="119">
        <f>E43-H43</f>
        <v>-49.031968137070976</v>
      </c>
      <c r="K43" s="38"/>
    </row>
    <row r="44" spans="1:25">
      <c r="B44" s="113" t="s">
        <v>8</v>
      </c>
      <c r="C44" s="116">
        <f>ACTUAL!P7</f>
        <v>278.535123</v>
      </c>
      <c r="D44" s="10">
        <f>ACTUAL!Q7</f>
        <v>5.0982464000000007</v>
      </c>
      <c r="E44" s="75">
        <f>ACTUAL!X7</f>
        <v>375.26296550992299</v>
      </c>
      <c r="F44" s="116">
        <f>P7</f>
        <v>282.17922213981581</v>
      </c>
      <c r="G44" s="10">
        <f>Q7</f>
        <v>3.504513072</v>
      </c>
      <c r="H44" s="75">
        <f>X7</f>
        <v>377.87075120488294</v>
      </c>
      <c r="I44" s="119">
        <f t="shared" ref="I44:I54" si="16">E44-H44</f>
        <v>-2.6077856949599436</v>
      </c>
      <c r="K44" s="58"/>
      <c r="L44" s="3"/>
      <c r="M44" s="3"/>
      <c r="N44" s="3"/>
      <c r="O44" s="3"/>
      <c r="P44" s="3"/>
    </row>
    <row r="45" spans="1:25">
      <c r="B45" s="113" t="s">
        <v>9</v>
      </c>
      <c r="C45" s="116">
        <f>ACTUAL!P8</f>
        <v>278.535123</v>
      </c>
      <c r="D45" s="10">
        <f>ACTUAL!Q8</f>
        <v>0.39437100000000003</v>
      </c>
      <c r="E45" s="75">
        <f>ACTUAL!X8</f>
        <v>369.28027748991042</v>
      </c>
      <c r="F45" s="116">
        <f>P8</f>
        <v>257.39783179263787</v>
      </c>
      <c r="G45" s="10">
        <f>Q8</f>
        <v>0.26621041999999995</v>
      </c>
      <c r="H45" s="75">
        <f>X8</f>
        <v>342.23352288233605</v>
      </c>
      <c r="I45" s="119">
        <f t="shared" si="16"/>
        <v>27.046754607574371</v>
      </c>
      <c r="K45" s="58"/>
      <c r="L45" s="3"/>
      <c r="M45" s="3"/>
      <c r="N45" s="3"/>
      <c r="O45" s="3"/>
      <c r="P45" s="3"/>
    </row>
    <row r="46" spans="1:25">
      <c r="B46" s="113" t="s">
        <v>10</v>
      </c>
      <c r="C46" s="116">
        <f>ACTUAL!P9</f>
        <v>292.1888055</v>
      </c>
      <c r="D46" s="10">
        <f>ACTUAL!Q9</f>
        <v>134.79123819999998</v>
      </c>
      <c r="E46" s="75">
        <f>ACTUAL!X9</f>
        <v>567.68951829503351</v>
      </c>
      <c r="F46" s="116">
        <f>P9</f>
        <v>280.10299533638226</v>
      </c>
      <c r="G46" s="10">
        <f>Q9</f>
        <v>93.304616743999986</v>
      </c>
      <c r="H46" s="75">
        <f>X9</f>
        <v>499.55269118995568</v>
      </c>
      <c r="I46" s="119">
        <f t="shared" si="16"/>
        <v>68.136827105077828</v>
      </c>
      <c r="K46" s="115"/>
      <c r="L46" s="10"/>
      <c r="M46" s="10"/>
      <c r="N46" s="10"/>
      <c r="O46" s="10"/>
      <c r="P46" s="10"/>
    </row>
    <row r="47" spans="1:25">
      <c r="B47" s="113" t="s">
        <v>11</v>
      </c>
      <c r="C47" s="116">
        <f>ACTUAL!P10</f>
        <v>294.91954199999998</v>
      </c>
      <c r="D47" s="10">
        <f>ACTUAL!Q10</f>
        <v>1338.634626</v>
      </c>
      <c r="E47" s="75">
        <f>ACTUAL!X10</f>
        <v>2092.1781265173768</v>
      </c>
      <c r="F47" s="116">
        <f>P10</f>
        <v>273.08359868458149</v>
      </c>
      <c r="G47" s="10">
        <f>Q10</f>
        <v>941.24286699999982</v>
      </c>
      <c r="H47" s="75">
        <f>X10</f>
        <v>1558.9776611521918</v>
      </c>
      <c r="I47" s="119">
        <f t="shared" si="16"/>
        <v>533.20046536518498</v>
      </c>
      <c r="K47" s="115"/>
      <c r="L47" s="10"/>
      <c r="M47" s="10"/>
      <c r="N47" s="10"/>
      <c r="O47" s="10"/>
      <c r="P47" s="10"/>
    </row>
    <row r="48" spans="1:25">
      <c r="B48" s="113" t="s">
        <v>12</v>
      </c>
      <c r="C48" s="116">
        <f>ACTUAL!P11</f>
        <v>294.91954199999998</v>
      </c>
      <c r="D48" s="10">
        <f>ACTUAL!Q11</f>
        <v>1473.2543599999999</v>
      </c>
      <c r="E48" s="75">
        <f>ACTUAL!X11</f>
        <v>2263.3960694626926</v>
      </c>
      <c r="F48" s="116">
        <f>P11</f>
        <v>294.44464685506512</v>
      </c>
      <c r="G48" s="10">
        <f>Q11</f>
        <v>1039.5576696800001</v>
      </c>
      <c r="H48" s="75">
        <f>X11</f>
        <v>1711.1890226963346</v>
      </c>
      <c r="I48" s="119">
        <f t="shared" si="16"/>
        <v>552.20704676635796</v>
      </c>
      <c r="K48" s="115"/>
      <c r="L48" s="10"/>
      <c r="M48" s="10"/>
      <c r="N48" s="10"/>
      <c r="O48" s="10"/>
      <c r="P48" s="10"/>
    </row>
    <row r="49" spans="2:16">
      <c r="B49" s="113" t="s">
        <v>13</v>
      </c>
      <c r="C49" s="116">
        <f>ACTUAL!P12</f>
        <v>294.91954199999998</v>
      </c>
      <c r="D49" s="10">
        <f>ACTUAL!Q12</f>
        <v>1580.90285808</v>
      </c>
      <c r="E49" s="75">
        <f>ACTUAL!X12</f>
        <v>2400.3102785073374</v>
      </c>
      <c r="F49" s="116">
        <f>P12</f>
        <v>370.51756782107884</v>
      </c>
      <c r="G49" s="10">
        <f>Q12</f>
        <v>1107.3838563167999</v>
      </c>
      <c r="H49" s="75">
        <f>X12</f>
        <v>1894.2090633942344</v>
      </c>
      <c r="I49" s="119">
        <f t="shared" si="16"/>
        <v>506.10121511310308</v>
      </c>
      <c r="K49" s="115"/>
      <c r="L49" s="10"/>
      <c r="M49" s="10"/>
      <c r="N49" s="10"/>
      <c r="O49" s="10"/>
      <c r="P49" s="10"/>
    </row>
    <row r="50" spans="2:16">
      <c r="B50" s="113" t="s">
        <v>14</v>
      </c>
      <c r="C50" s="116">
        <f>ACTUAL!P13</f>
        <v>278.535123</v>
      </c>
      <c r="D50" s="10">
        <f>ACTUAL!Q13</f>
        <v>972.31371330999991</v>
      </c>
      <c r="E50" s="75">
        <f>ACTUAL!X13</f>
        <v>1605.429135866669</v>
      </c>
      <c r="F50" s="116">
        <f>P13</f>
        <v>258.70784746933219</v>
      </c>
      <c r="G50" s="10">
        <f>Q13</f>
        <v>674.80553870039989</v>
      </c>
      <c r="H50" s="75">
        <f>X13</f>
        <v>1201.8217197604786</v>
      </c>
      <c r="I50" s="119">
        <f t="shared" si="16"/>
        <v>403.60741610619039</v>
      </c>
      <c r="K50" s="115"/>
      <c r="L50" s="10"/>
      <c r="M50" s="10"/>
      <c r="N50" s="10"/>
      <c r="O50" s="10"/>
      <c r="P50" s="10"/>
    </row>
    <row r="51" spans="2:16">
      <c r="B51" s="113" t="s">
        <v>15</v>
      </c>
      <c r="C51" s="116">
        <f>ACTUAL!P14</f>
        <v>289.45806900000002</v>
      </c>
      <c r="D51" s="10">
        <f>ACTUAL!Q14</f>
        <v>1209.835339</v>
      </c>
      <c r="E51" s="75">
        <f>ACTUAL!X14</f>
        <v>1921.4167495451504</v>
      </c>
      <c r="F51" s="116">
        <f>P14</f>
        <v>269.326277</v>
      </c>
      <c r="G51" s="10">
        <f>Q14</f>
        <v>842.8387042999999</v>
      </c>
      <c r="H51" s="75">
        <f>X14</f>
        <v>1429.0421852392169</v>
      </c>
      <c r="I51" s="119">
        <f t="shared" si="16"/>
        <v>492.37456430593352</v>
      </c>
      <c r="K51" s="115"/>
      <c r="L51" s="10"/>
      <c r="M51" s="10"/>
      <c r="N51" s="10"/>
      <c r="O51" s="10"/>
      <c r="P51" s="10"/>
    </row>
    <row r="52" spans="2:16">
      <c r="B52" s="113" t="s">
        <v>49</v>
      </c>
      <c r="C52" s="116">
        <f>ACTUAL!P15</f>
        <v>292.1888055</v>
      </c>
      <c r="D52" s="10">
        <f>ACTUAL!Q15</f>
        <v>132.85530500000002</v>
      </c>
      <c r="E52" s="75">
        <f>ACTUAL!X15</f>
        <v>555.1181433660513</v>
      </c>
      <c r="F52" s="116">
        <f>P15</f>
        <v>292.3420441050651</v>
      </c>
      <c r="G52" s="10">
        <f>Q15</f>
        <v>91.149913060000003</v>
      </c>
      <c r="H52" s="75">
        <f>X15</f>
        <v>502.2694709793127</v>
      </c>
      <c r="I52" s="119">
        <f t="shared" si="16"/>
        <v>52.848672386738599</v>
      </c>
      <c r="K52" s="115"/>
      <c r="L52" s="10"/>
      <c r="M52" s="10"/>
      <c r="N52" s="10"/>
      <c r="O52" s="10"/>
      <c r="P52" s="10"/>
    </row>
    <row r="53" spans="2:16">
      <c r="B53" s="113" t="s">
        <v>16</v>
      </c>
      <c r="C53" s="116">
        <f>ACTUAL!P16</f>
        <v>278.535123</v>
      </c>
      <c r="D53" s="10">
        <f>ACTUAL!Q16</f>
        <v>4.062951</v>
      </c>
      <c r="E53" s="75">
        <f>ACTUAL!X16</f>
        <v>373.9462109490446</v>
      </c>
      <c r="F53" s="116">
        <f>P16</f>
        <v>257.39783179263787</v>
      </c>
      <c r="G53" s="10">
        <f>Q16</f>
        <v>3.0135010599999998</v>
      </c>
      <c r="H53" s="75">
        <f>X16</f>
        <v>345.72770191595174</v>
      </c>
      <c r="I53" s="119">
        <f t="shared" si="16"/>
        <v>28.218509033092857</v>
      </c>
      <c r="K53" s="115"/>
      <c r="L53" s="10"/>
      <c r="M53" s="10"/>
      <c r="N53" s="10"/>
      <c r="O53" s="10"/>
      <c r="P53" s="10"/>
    </row>
    <row r="54" spans="2:16" ht="13.5" thickBot="1">
      <c r="B54" s="114" t="s">
        <v>17</v>
      </c>
      <c r="C54" s="117">
        <f>ACTUAL!P17</f>
        <v>294.91954199999998</v>
      </c>
      <c r="D54" s="78">
        <f>ACTUAL!Q17</f>
        <v>4.0694949999999999</v>
      </c>
      <c r="E54" s="79">
        <f>ACTUAL!X17</f>
        <v>394.79328057520195</v>
      </c>
      <c r="F54" s="117">
        <f>P17</f>
        <v>289.27219858638227</v>
      </c>
      <c r="G54" s="78">
        <f>Q17</f>
        <v>2.7085080799999997</v>
      </c>
      <c r="H54" s="79">
        <f>X17</f>
        <v>385.87964014858153</v>
      </c>
      <c r="I54" s="120">
        <f t="shared" si="16"/>
        <v>8.9136404266204181</v>
      </c>
      <c r="K54" s="115"/>
      <c r="L54" s="10"/>
      <c r="M54" s="10"/>
      <c r="N54" s="10"/>
      <c r="O54" s="10"/>
      <c r="P54" s="10"/>
    </row>
    <row r="55" spans="2:16">
      <c r="B55" s="33"/>
      <c r="C55" s="91"/>
      <c r="D55" s="91"/>
      <c r="E55" s="91"/>
      <c r="F55" s="71"/>
      <c r="G55" s="71"/>
      <c r="H55" s="71"/>
      <c r="I55" s="71"/>
      <c r="K55" s="10"/>
      <c r="L55" s="10"/>
      <c r="M55" s="10"/>
      <c r="N55" s="10"/>
      <c r="O55" s="10"/>
      <c r="P55" s="10"/>
    </row>
    <row r="56" spans="2:16">
      <c r="B56" s="110" t="s">
        <v>46</v>
      </c>
      <c r="C56" s="33"/>
      <c r="D56" s="33"/>
      <c r="E56" s="10">
        <f>SUM(E43:E54)</f>
        <v>13331.595128219886</v>
      </c>
      <c r="F56" s="10"/>
      <c r="G56" s="10"/>
      <c r="H56" s="10">
        <f>SUM(H43:H54)</f>
        <v>10710.579770836041</v>
      </c>
      <c r="I56" s="13">
        <f>SUM(I43:I54)</f>
        <v>2621.0153573838429</v>
      </c>
      <c r="K56" s="10"/>
      <c r="L56" s="10"/>
      <c r="M56" s="10"/>
      <c r="N56" s="10"/>
      <c r="O56" s="10"/>
      <c r="P56" s="10"/>
    </row>
    <row r="57" spans="2:16">
      <c r="B57" s="15"/>
      <c r="C57" s="33"/>
      <c r="D57" s="33"/>
      <c r="E57" s="33"/>
      <c r="F57" s="33"/>
      <c r="G57" s="10"/>
      <c r="H57" s="10"/>
      <c r="I57" s="10"/>
      <c r="J57" s="10"/>
      <c r="K57" s="10"/>
      <c r="L57" s="10"/>
      <c r="M57" s="10"/>
      <c r="N57" s="10"/>
      <c r="O57" s="10"/>
      <c r="P57" s="10"/>
    </row>
    <row r="58" spans="2:16">
      <c r="B58" s="15"/>
      <c r="C58" s="36"/>
      <c r="D58" s="36"/>
      <c r="E58" s="36"/>
      <c r="F58" s="36"/>
      <c r="G58" s="13"/>
      <c r="H58" s="13"/>
      <c r="I58" s="13"/>
      <c r="J58" s="13"/>
      <c r="K58" s="13"/>
      <c r="L58" s="13"/>
      <c r="M58" s="13"/>
      <c r="N58" s="13"/>
      <c r="O58" s="13"/>
      <c r="P58" s="13"/>
    </row>
  </sheetData>
  <mergeCells count="3">
    <mergeCell ref="L30:N30"/>
    <mergeCell ref="C40:E40"/>
    <mergeCell ref="F40:H40"/>
  </mergeCells>
  <phoneticPr fontId="0" type="noConversion"/>
  <pageMargins left="0.75" right="0.75" top="1" bottom="1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7"/>
  <sheetViews>
    <sheetView workbookViewId="0">
      <selection activeCell="F3" sqref="F3"/>
    </sheetView>
  </sheetViews>
  <sheetFormatPr baseColWidth="10" defaultRowHeight="12.75"/>
  <sheetData>
    <row r="1" spans="1:12">
      <c r="C1" t="s">
        <v>55</v>
      </c>
      <c r="D1" t="s">
        <v>56</v>
      </c>
      <c r="E1" t="s">
        <v>57</v>
      </c>
      <c r="F1" t="s">
        <v>58</v>
      </c>
      <c r="G1" t="s">
        <v>59</v>
      </c>
      <c r="H1" t="s">
        <v>60</v>
      </c>
      <c r="I1" t="s">
        <v>61</v>
      </c>
      <c r="J1" t="s">
        <v>62</v>
      </c>
      <c r="K1" t="s">
        <v>0</v>
      </c>
      <c r="L1" t="s">
        <v>63</v>
      </c>
    </row>
    <row r="2" spans="1:12">
      <c r="A2">
        <v>1</v>
      </c>
      <c r="B2" t="s">
        <v>64</v>
      </c>
      <c r="C2" s="23">
        <v>0.1244</v>
      </c>
      <c r="D2" s="23">
        <v>0.106986</v>
      </c>
      <c r="E2" s="23">
        <v>7.8160999999999994E-2</v>
      </c>
      <c r="F2" s="23">
        <v>59.475287999999999</v>
      </c>
      <c r="G2" s="23">
        <v>36.676813000000003</v>
      </c>
      <c r="H2" s="23">
        <v>8.4104109999999999</v>
      </c>
      <c r="I2" s="24">
        <v>0.14000000000000001</v>
      </c>
      <c r="J2" s="24">
        <v>0</v>
      </c>
      <c r="K2" t="s">
        <v>65</v>
      </c>
      <c r="L2">
        <v>1</v>
      </c>
    </row>
    <row r="3" spans="1:12">
      <c r="A3">
        <v>2</v>
      </c>
      <c r="B3" t="s">
        <v>64</v>
      </c>
      <c r="C3" s="23">
        <v>0.165383</v>
      </c>
      <c r="D3" s="23">
        <v>0.130022</v>
      </c>
      <c r="E3" s="23">
        <v>8.9084999999999998E-2</v>
      </c>
      <c r="F3" s="23">
        <f>6.832399*12</f>
        <v>81.988788</v>
      </c>
      <c r="G3" s="23">
        <f>F3</f>
        <v>81.988788</v>
      </c>
      <c r="H3" s="23">
        <f>G3</f>
        <v>81.988788</v>
      </c>
      <c r="I3" s="24">
        <v>0.24</v>
      </c>
      <c r="J3" s="24">
        <v>0</v>
      </c>
      <c r="K3" t="s">
        <v>47</v>
      </c>
      <c r="L3">
        <v>0</v>
      </c>
    </row>
    <row r="4" spans="1:12">
      <c r="A4">
        <v>3</v>
      </c>
      <c r="B4" t="s">
        <v>66</v>
      </c>
      <c r="C4" s="25"/>
      <c r="D4" s="25"/>
      <c r="E4" s="25"/>
      <c r="F4" s="25"/>
      <c r="G4" s="25"/>
      <c r="H4" s="25"/>
      <c r="I4" s="26">
        <v>0</v>
      </c>
      <c r="J4" s="26">
        <v>0</v>
      </c>
      <c r="K4" t="s">
        <v>65</v>
      </c>
      <c r="L4">
        <v>1</v>
      </c>
    </row>
    <row r="5" spans="1:12">
      <c r="A5">
        <v>4</v>
      </c>
      <c r="B5" t="s">
        <v>66</v>
      </c>
      <c r="C5" s="25"/>
      <c r="D5" s="25"/>
      <c r="E5" s="25"/>
      <c r="F5" s="25"/>
      <c r="G5" s="25"/>
      <c r="H5" s="25"/>
      <c r="I5" s="26">
        <v>0</v>
      </c>
      <c r="J5" s="26">
        <v>0</v>
      </c>
      <c r="K5" t="s">
        <v>47</v>
      </c>
      <c r="L5">
        <v>0</v>
      </c>
    </row>
    <row r="6" spans="1:12">
      <c r="A6">
        <v>5</v>
      </c>
      <c r="B6" t="s">
        <v>67</v>
      </c>
      <c r="C6" s="27">
        <v>0.141981</v>
      </c>
      <c r="D6" s="27">
        <v>0.12537499999999999</v>
      </c>
      <c r="E6" s="27">
        <v>9.0900999999999996E-2</v>
      </c>
      <c r="F6" s="27">
        <v>59.173499999999997</v>
      </c>
      <c r="G6" s="27">
        <v>36.490699999999997</v>
      </c>
      <c r="H6" s="27">
        <v>8.3676999999999992</v>
      </c>
      <c r="I6" s="28">
        <v>0.22</v>
      </c>
      <c r="J6" s="28">
        <v>0</v>
      </c>
      <c r="K6" t="s">
        <v>65</v>
      </c>
      <c r="L6">
        <v>1</v>
      </c>
    </row>
    <row r="7" spans="1:12">
      <c r="A7">
        <v>6</v>
      </c>
      <c r="B7" t="s">
        <v>67</v>
      </c>
      <c r="C7" s="27">
        <v>0.16337299999999999</v>
      </c>
      <c r="D7" s="27">
        <v>0.134128</v>
      </c>
      <c r="E7" s="27">
        <v>9.1932E-2</v>
      </c>
      <c r="F7" s="27">
        <v>41.228900000000003</v>
      </c>
      <c r="G7" s="27">
        <v>24.9373</v>
      </c>
      <c r="H7" s="27">
        <v>16.791599999999999</v>
      </c>
      <c r="I7" s="28">
        <v>0.22</v>
      </c>
      <c r="J7" s="28">
        <v>0</v>
      </c>
      <c r="K7" t="s">
        <v>47</v>
      </c>
      <c r="L7">
        <v>0</v>
      </c>
    </row>
    <row r="8" spans="1:12">
      <c r="A8">
        <v>7</v>
      </c>
      <c r="B8" t="s">
        <v>68</v>
      </c>
      <c r="C8" s="25"/>
      <c r="D8" s="25"/>
      <c r="E8" s="25"/>
      <c r="F8" s="25"/>
      <c r="G8" s="25"/>
      <c r="H8" s="25"/>
      <c r="I8" s="26"/>
      <c r="J8" s="26"/>
      <c r="K8" t="s">
        <v>65</v>
      </c>
      <c r="L8">
        <v>1</v>
      </c>
    </row>
    <row r="9" spans="1:12">
      <c r="A9">
        <v>8</v>
      </c>
      <c r="B9" t="s">
        <v>68</v>
      </c>
      <c r="C9" s="29">
        <v>0.126336</v>
      </c>
      <c r="D9" s="29">
        <v>0.104598</v>
      </c>
      <c r="E9" s="29">
        <v>7.2227E-2</v>
      </c>
      <c r="F9" s="29">
        <v>40.728900000000003</v>
      </c>
      <c r="G9" s="29">
        <v>24.4373</v>
      </c>
      <c r="H9" s="29">
        <v>16.291599999999999</v>
      </c>
      <c r="I9" s="24">
        <v>0</v>
      </c>
      <c r="J9" s="24">
        <v>0</v>
      </c>
      <c r="K9" t="s">
        <v>47</v>
      </c>
      <c r="L9">
        <v>0</v>
      </c>
    </row>
    <row r="10" spans="1:12">
      <c r="A10">
        <v>9</v>
      </c>
      <c r="B10" t="s">
        <v>69</v>
      </c>
      <c r="C10" s="23"/>
      <c r="D10" s="23"/>
      <c r="E10" s="23"/>
      <c r="F10" s="23"/>
      <c r="G10" s="23"/>
      <c r="H10" s="23"/>
      <c r="I10" s="24">
        <v>0</v>
      </c>
      <c r="J10" s="24">
        <v>0</v>
      </c>
      <c r="K10" t="s">
        <v>65</v>
      </c>
      <c r="L10">
        <v>1</v>
      </c>
    </row>
    <row r="11" spans="1:12">
      <c r="A11">
        <v>10</v>
      </c>
      <c r="B11" t="s">
        <v>69</v>
      </c>
      <c r="C11" s="23">
        <v>0</v>
      </c>
      <c r="D11" s="23"/>
      <c r="E11" s="23"/>
      <c r="F11" s="23">
        <v>40.728884999999998</v>
      </c>
      <c r="G11" s="23">
        <v>24.437329999999999</v>
      </c>
      <c r="H11" s="23">
        <v>16.291554999999999</v>
      </c>
      <c r="I11" s="24">
        <v>0</v>
      </c>
      <c r="J11" s="24">
        <v>0</v>
      </c>
      <c r="K11" t="s">
        <v>47</v>
      </c>
      <c r="L11">
        <v>0</v>
      </c>
    </row>
    <row r="12" spans="1:12">
      <c r="A12">
        <v>11</v>
      </c>
      <c r="B12" t="s">
        <v>70</v>
      </c>
      <c r="C12" s="25">
        <v>0.111785</v>
      </c>
      <c r="D12" s="25">
        <v>0.101369</v>
      </c>
      <c r="E12" s="25">
        <v>7.3256000000000002E-2</v>
      </c>
      <c r="F12" s="25">
        <v>57.605200000000004</v>
      </c>
      <c r="G12" s="25">
        <v>35.523600000000002</v>
      </c>
      <c r="H12" s="25">
        <v>8.1460000000000008</v>
      </c>
      <c r="I12" s="26">
        <v>0</v>
      </c>
      <c r="J12" s="26">
        <v>0</v>
      </c>
      <c r="K12" t="s">
        <v>65</v>
      </c>
      <c r="L12">
        <v>1</v>
      </c>
    </row>
    <row r="13" spans="1:12">
      <c r="A13">
        <v>12</v>
      </c>
      <c r="B13" t="s">
        <v>70</v>
      </c>
      <c r="C13" s="25">
        <v>0.12884599999999999</v>
      </c>
      <c r="D13" s="25">
        <v>0.105436</v>
      </c>
      <c r="E13" s="25">
        <v>7.0782999999999999E-2</v>
      </c>
      <c r="F13" s="25">
        <v>39.688099999999999</v>
      </c>
      <c r="G13" s="25">
        <v>23.812899999999999</v>
      </c>
      <c r="H13" s="25">
        <v>15.8752</v>
      </c>
      <c r="I13" s="26">
        <v>0</v>
      </c>
      <c r="J13" s="26">
        <v>0</v>
      </c>
      <c r="K13" t="s">
        <v>47</v>
      </c>
      <c r="L13">
        <v>0</v>
      </c>
    </row>
    <row r="14" spans="1:12">
      <c r="A14">
        <v>13</v>
      </c>
      <c r="B14" t="s">
        <v>71</v>
      </c>
      <c r="C14" s="23">
        <v>0.13818800000000001</v>
      </c>
      <c r="D14" s="23">
        <v>0.11962100000000001</v>
      </c>
      <c r="E14" s="23">
        <v>7.9530000000000003E-2</v>
      </c>
      <c r="F14" s="23">
        <f>5.031757*12</f>
        <v>60.381084000000001</v>
      </c>
      <c r="G14" s="23">
        <f>3.10295*12</f>
        <v>37.235399999999998</v>
      </c>
      <c r="H14" s="23">
        <f>0.711542*12</f>
        <v>8.5385039999999996</v>
      </c>
      <c r="I14" s="24">
        <v>0</v>
      </c>
      <c r="J14" s="24">
        <v>0</v>
      </c>
      <c r="K14" t="s">
        <v>65</v>
      </c>
      <c r="L14">
        <v>1</v>
      </c>
    </row>
    <row r="15" spans="1:12">
      <c r="A15">
        <v>14</v>
      </c>
      <c r="B15" t="s">
        <v>71</v>
      </c>
      <c r="C15" s="23">
        <v>0.15629599999999999</v>
      </c>
      <c r="D15" s="23">
        <v>0.124002</v>
      </c>
      <c r="E15" s="23">
        <v>7.8154000000000001E-2</v>
      </c>
      <c r="F15" s="23">
        <f>3.463341*12</f>
        <v>41.560091999999997</v>
      </c>
      <c r="G15" s="23">
        <f>2.078004*12</f>
        <v>24.936048</v>
      </c>
      <c r="H15" s="23">
        <f>1.385336*12</f>
        <v>16.624032</v>
      </c>
      <c r="I15" s="24">
        <v>0</v>
      </c>
      <c r="J15" s="24">
        <v>0</v>
      </c>
      <c r="K15" t="s">
        <v>47</v>
      </c>
      <c r="L15">
        <v>0</v>
      </c>
    </row>
    <row r="16" spans="1:12">
      <c r="A16">
        <v>15</v>
      </c>
      <c r="B16" t="s">
        <v>72</v>
      </c>
      <c r="C16" s="31" t="s">
        <v>73</v>
      </c>
      <c r="D16" s="31"/>
      <c r="E16" s="31"/>
      <c r="F16" s="31"/>
      <c r="G16" s="31"/>
      <c r="H16" s="31"/>
      <c r="I16" s="31"/>
      <c r="J16" s="31"/>
      <c r="K16" t="s">
        <v>65</v>
      </c>
      <c r="L16">
        <v>1</v>
      </c>
    </row>
    <row r="17" spans="1:13">
      <c r="A17">
        <v>16</v>
      </c>
      <c r="B17" t="s">
        <v>72</v>
      </c>
      <c r="C17" s="30">
        <v>0.153086</v>
      </c>
      <c r="D17" s="30">
        <v>0.12192500000000001</v>
      </c>
      <c r="E17" s="23">
        <v>9.153E-2</v>
      </c>
      <c r="F17" s="30">
        <f>3.3940737*12</f>
        <v>40.728884399999998</v>
      </c>
      <c r="G17" s="23">
        <f>2.0364441*12</f>
        <v>24.437329200000001</v>
      </c>
      <c r="H17" s="23">
        <f>1.3576295*12</f>
        <v>16.291554000000001</v>
      </c>
      <c r="I17" s="24">
        <v>0</v>
      </c>
      <c r="J17" s="24">
        <v>0</v>
      </c>
      <c r="K17" t="s">
        <v>47</v>
      </c>
      <c r="L17">
        <v>0</v>
      </c>
    </row>
    <row r="18" spans="1:13">
      <c r="A18">
        <v>17</v>
      </c>
      <c r="B18" t="s">
        <v>74</v>
      </c>
      <c r="C18" s="25"/>
      <c r="D18" s="25"/>
      <c r="E18" s="25"/>
      <c r="F18" s="25"/>
      <c r="G18" s="25"/>
      <c r="H18" s="25"/>
      <c r="I18" s="26"/>
      <c r="J18" s="26"/>
      <c r="K18" t="s">
        <v>65</v>
      </c>
      <c r="L18">
        <v>1</v>
      </c>
    </row>
    <row r="19" spans="1:13">
      <c r="A19">
        <v>18</v>
      </c>
      <c r="B19" t="s">
        <v>74</v>
      </c>
      <c r="C19" s="25"/>
      <c r="D19" s="25"/>
      <c r="E19" s="25"/>
      <c r="F19" s="25"/>
      <c r="G19" s="25"/>
      <c r="H19" s="25"/>
      <c r="I19" s="26"/>
      <c r="J19" s="26"/>
      <c r="K19" t="s">
        <v>47</v>
      </c>
      <c r="L19">
        <v>0</v>
      </c>
    </row>
    <row r="20" spans="1:13">
      <c r="A20">
        <v>19</v>
      </c>
      <c r="B20" t="s">
        <v>75</v>
      </c>
      <c r="C20" s="25"/>
      <c r="D20" s="25"/>
      <c r="E20" s="25"/>
      <c r="F20" s="25"/>
      <c r="G20" s="25"/>
      <c r="H20" s="25"/>
      <c r="I20" s="26"/>
      <c r="J20" s="26"/>
      <c r="K20" t="s">
        <v>65</v>
      </c>
      <c r="L20">
        <v>1</v>
      </c>
    </row>
    <row r="21" spans="1:13">
      <c r="A21">
        <v>20</v>
      </c>
      <c r="B21" t="s">
        <v>75</v>
      </c>
      <c r="C21" s="23">
        <v>0.121841</v>
      </c>
      <c r="D21" s="23">
        <v>9.7409999999999997E-2</v>
      </c>
      <c r="E21" s="23">
        <v>6.9849999999999995E-2</v>
      </c>
      <c r="F21" s="23">
        <v>40.728884999999998</v>
      </c>
      <c r="G21" s="23">
        <v>24.437329999999999</v>
      </c>
      <c r="H21" s="23">
        <v>16.291554999999999</v>
      </c>
      <c r="I21" s="24">
        <v>0</v>
      </c>
      <c r="J21" s="24">
        <v>0</v>
      </c>
      <c r="K21" t="s">
        <v>47</v>
      </c>
      <c r="L21">
        <v>0</v>
      </c>
      <c r="M21" t="s">
        <v>76</v>
      </c>
    </row>
    <row r="22" spans="1:13">
      <c r="A22">
        <v>21</v>
      </c>
      <c r="B22" t="s">
        <v>77</v>
      </c>
      <c r="C22" s="25"/>
      <c r="D22" s="25"/>
      <c r="E22" s="25"/>
      <c r="F22" s="25"/>
      <c r="G22" s="25"/>
      <c r="H22" s="25"/>
      <c r="I22" s="26"/>
      <c r="J22" s="26"/>
      <c r="K22" t="s">
        <v>65</v>
      </c>
      <c r="L22">
        <v>1</v>
      </c>
    </row>
    <row r="23" spans="1:13">
      <c r="A23">
        <v>22</v>
      </c>
      <c r="B23" t="s">
        <v>77</v>
      </c>
      <c r="C23" s="23">
        <v>0.126579</v>
      </c>
      <c r="D23" s="23">
        <v>0.10057199999999999</v>
      </c>
      <c r="E23" s="23">
        <v>6.8078E-2</v>
      </c>
      <c r="F23" s="23">
        <v>40.728884999999998</v>
      </c>
      <c r="G23" s="23">
        <v>24.437329999999999</v>
      </c>
      <c r="H23" s="23">
        <v>16.291554999999999</v>
      </c>
      <c r="I23" s="24">
        <v>0</v>
      </c>
      <c r="J23" s="24">
        <v>0</v>
      </c>
      <c r="K23" t="s">
        <v>47</v>
      </c>
      <c r="L23">
        <v>0</v>
      </c>
      <c r="M23" t="s">
        <v>78</v>
      </c>
    </row>
    <row r="24" spans="1:13">
      <c r="A24">
        <v>23</v>
      </c>
      <c r="B24" t="s">
        <v>79</v>
      </c>
      <c r="C24" s="31" t="s">
        <v>73</v>
      </c>
      <c r="D24" s="31"/>
      <c r="E24" s="31"/>
      <c r="F24" s="31"/>
      <c r="G24" s="31"/>
      <c r="H24" s="31"/>
      <c r="I24" s="31"/>
      <c r="J24" s="31"/>
      <c r="K24" t="s">
        <v>65</v>
      </c>
      <c r="L24">
        <v>1</v>
      </c>
    </row>
    <row r="25" spans="1:13">
      <c r="A25">
        <v>24</v>
      </c>
      <c r="B25" t="s">
        <v>79</v>
      </c>
      <c r="C25" s="23">
        <v>0.177347</v>
      </c>
      <c r="D25" s="23">
        <v>0.13533500000000001</v>
      </c>
      <c r="E25" s="23">
        <v>8.1688999999999998E-2</v>
      </c>
      <c r="F25" s="23">
        <v>32.768838000000002</v>
      </c>
      <c r="G25" s="23">
        <v>32.768838000000002</v>
      </c>
      <c r="H25" s="23">
        <v>32.768838000000002</v>
      </c>
      <c r="I25" s="24">
        <v>0</v>
      </c>
      <c r="J25" s="24">
        <v>0</v>
      </c>
      <c r="K25" t="s">
        <v>47</v>
      </c>
      <c r="L25">
        <v>0</v>
      </c>
    </row>
    <row r="26" spans="1:13">
      <c r="A26">
        <v>25</v>
      </c>
      <c r="B26" t="s">
        <v>80</v>
      </c>
      <c r="C26" s="25"/>
      <c r="D26" s="25"/>
      <c r="E26" s="25"/>
      <c r="F26" s="25"/>
      <c r="G26" s="25"/>
      <c r="H26" s="25"/>
      <c r="I26" s="26"/>
      <c r="J26" s="26"/>
      <c r="K26" t="s">
        <v>65</v>
      </c>
      <c r="L26">
        <v>1</v>
      </c>
    </row>
    <row r="27" spans="1:13">
      <c r="A27">
        <v>26</v>
      </c>
      <c r="B27" t="s">
        <v>80</v>
      </c>
      <c r="C27" s="25"/>
      <c r="D27" s="25"/>
      <c r="E27" s="25"/>
      <c r="F27" s="25"/>
      <c r="G27" s="25"/>
      <c r="H27" s="25"/>
      <c r="I27" s="26"/>
      <c r="J27" s="26"/>
      <c r="K27" t="s">
        <v>47</v>
      </c>
      <c r="L27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ACTUAL</vt:lpstr>
      <vt:lpstr>OPTIMIZADO</vt:lpstr>
      <vt:lpstr>Tarifas</vt:lpstr>
    </vt:vector>
  </TitlesOfParts>
  <Company>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Moncho</dc:creator>
  <cp:lastModifiedBy>Francisco López</cp:lastModifiedBy>
  <dcterms:created xsi:type="dcterms:W3CDTF">2010-10-08T16:25:30Z</dcterms:created>
  <dcterms:modified xsi:type="dcterms:W3CDTF">2014-10-17T11:45:53Z</dcterms:modified>
</cp:coreProperties>
</file>