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codeName="ThisWorkbook" defaultThemeVersion="124226"/>
  <workbookProtection workbookPassword="8FA6" lockStructure="1"/>
  <bookViews>
    <workbookView xWindow="-15" yWindow="4260" windowWidth="17340" windowHeight="4935" tabRatio="813"/>
  </bookViews>
  <sheets>
    <sheet name="FCAS" sheetId="1" r:id="rId1"/>
    <sheet name="FCAS-PROXY" sheetId="37" state="hidden" r:id="rId2"/>
    <sheet name="VARIABLES" sheetId="9" state="hidden" r:id="rId3"/>
    <sheet name="TABSAL" sheetId="5" state="hidden" r:id="rId4"/>
    <sheet name="TABLAS" sheetId="4" state="hidden" r:id="rId5"/>
    <sheet name="PERIODOS" sheetId="6" state="hidden" r:id="rId6"/>
    <sheet name="CALCULOS" sheetId="10" state="hidden" r:id="rId7"/>
    <sheet name="ROT" sheetId="15" state="hidden" r:id="rId8"/>
    <sheet name="DIST-PRS" sheetId="14" state="hidden" r:id="rId9"/>
    <sheet name="ANTIG" sheetId="11" state="hidden" r:id="rId10"/>
    <sheet name="FERIADOS" sheetId="7" state="hidden" r:id="rId11"/>
    <sheet name="CALENDARIOS" sheetId="8" state="hidden" r:id="rId12"/>
  </sheets>
  <definedNames>
    <definedName name="BONOHIJOS">FCAS!$I$104</definedName>
    <definedName name="BONOMATRI">FCAS!$I$106</definedName>
    <definedName name="BVACACION">FCAS!$I$166</definedName>
    <definedName name="DPm">FCAS!$F$60</definedName>
    <definedName name="DPsem">FCAS!$H$60</definedName>
    <definedName name="FCASP">VARIABLES!$C$31</definedName>
    <definedName name="_FCC1">TABLAS!$L$15</definedName>
    <definedName name="_FCC2">TABLAS!$L$16</definedName>
    <definedName name="_FCC3">TABLAS!$L$17</definedName>
    <definedName name="FFPROY">FCAS!$I$18</definedName>
    <definedName name="FFPROYR">FCAS!$I$18</definedName>
    <definedName name="FIPROY">FCAS!$D$18</definedName>
    <definedName name="FIPROYR">FCAS!$D$18</definedName>
    <definedName name="JEXTRA">FCAS!$K$141</definedName>
    <definedName name="PUNTUAL">FCAS!$K$139</definedName>
    <definedName name="SBP">FCAS!$H$56</definedName>
    <definedName name="SMN">PERIODOS!$F$93</definedName>
    <definedName name="TDET">FCAS!$H$82</definedName>
    <definedName name="TDLL">FCAS!$I$78</definedName>
    <definedName name="TDP">FCAS!$E$18</definedName>
    <definedName name="TDT">FCAS!$F$54</definedName>
    <definedName name="TESPECIAL">FCAS!$K$154</definedName>
    <definedName name="TOM">FCAS!$K$54</definedName>
    <definedName name="VUT">VARIABLES!$C$9</definedName>
  </definedNames>
  <calcPr calcId="144525" fullPrecision="0"/>
</workbook>
</file>

<file path=xl/calcChain.xml><?xml version="1.0" encoding="utf-8"?>
<calcChain xmlns="http://schemas.openxmlformats.org/spreadsheetml/2006/main">
  <c r="C6" i="1" l="1"/>
  <c r="J6" i="1"/>
  <c r="J8" i="1"/>
  <c r="C12" i="1"/>
  <c r="K12" i="1"/>
  <c r="D14" i="1"/>
  <c r="H14" i="1"/>
  <c r="K16" i="1"/>
  <c r="D18" i="1"/>
  <c r="D19" i="1" s="1"/>
  <c r="E18" i="1"/>
  <c r="D24" i="1"/>
  <c r="E24" i="1"/>
  <c r="F24" i="1"/>
  <c r="D27" i="1"/>
  <c r="G27" i="1"/>
  <c r="E27" i="1"/>
  <c r="F27" i="1"/>
  <c r="D31" i="1"/>
  <c r="D34" i="1"/>
  <c r="J34" i="1" s="1"/>
  <c r="F34" i="1"/>
  <c r="G34" i="1"/>
  <c r="D36" i="1"/>
  <c r="F36" i="1"/>
  <c r="G36" i="1"/>
  <c r="D38" i="1"/>
  <c r="J38" i="1" s="1"/>
  <c r="F38" i="1"/>
  <c r="G38" i="1"/>
  <c r="D40" i="1"/>
  <c r="F40" i="1"/>
  <c r="G40" i="1"/>
  <c r="D42" i="1"/>
  <c r="F42" i="1"/>
  <c r="G42" i="1"/>
  <c r="J42" i="1"/>
  <c r="D44" i="1"/>
  <c r="F44" i="1"/>
  <c r="G44" i="1"/>
  <c r="D46" i="1"/>
  <c r="J46" i="1" s="1"/>
  <c r="F46" i="1"/>
  <c r="G46" i="1"/>
  <c r="D48" i="1"/>
  <c r="F48" i="1"/>
  <c r="G48" i="1"/>
  <c r="G54" i="1" s="1"/>
  <c r="D50" i="1"/>
  <c r="F50" i="1"/>
  <c r="G50" i="1"/>
  <c r="J50" i="1"/>
  <c r="D52" i="1"/>
  <c r="F52" i="1"/>
  <c r="G52" i="1"/>
  <c r="D62" i="1"/>
  <c r="J66" i="1"/>
  <c r="B68" i="1"/>
  <c r="E68" i="1"/>
  <c r="B70" i="1"/>
  <c r="E70" i="1"/>
  <c r="B72" i="1"/>
  <c r="E72" i="1"/>
  <c r="F90" i="1"/>
  <c r="G90" i="1"/>
  <c r="K90" i="1"/>
  <c r="G102" i="1"/>
  <c r="K108" i="1"/>
  <c r="F110" i="1"/>
  <c r="G110" i="1"/>
  <c r="D113" i="1"/>
  <c r="E113" i="1"/>
  <c r="D114" i="1"/>
  <c r="E114" i="1"/>
  <c r="F114" i="1"/>
  <c r="G114" i="1"/>
  <c r="H114" i="1"/>
  <c r="F116" i="1"/>
  <c r="I118" i="1"/>
  <c r="C128" i="1"/>
  <c r="D128" i="1"/>
  <c r="E128" i="1"/>
  <c r="F128" i="1"/>
  <c r="C129" i="1"/>
  <c r="D129" i="1"/>
  <c r="I126" i="1" s="1"/>
  <c r="E129" i="1"/>
  <c r="F129" i="1"/>
  <c r="H131" i="1"/>
  <c r="K192" i="1" s="1"/>
  <c r="K131" i="1"/>
  <c r="F139" i="1"/>
  <c r="I139" i="1"/>
  <c r="C148" i="1"/>
  <c r="D148" i="1"/>
  <c r="I98" i="1" s="1"/>
  <c r="F148" i="1"/>
  <c r="G148" i="1"/>
  <c r="C150" i="1"/>
  <c r="F150" i="1"/>
  <c r="C152" i="1"/>
  <c r="F152" i="1"/>
  <c r="C157" i="1"/>
  <c r="D157" i="1"/>
  <c r="G157" i="1"/>
  <c r="H157" i="1"/>
  <c r="I157" i="1"/>
  <c r="C160" i="1"/>
  <c r="C161" i="1" s="1"/>
  <c r="D160" i="1"/>
  <c r="F160" i="1"/>
  <c r="F161" i="1" s="1"/>
  <c r="G160" i="1"/>
  <c r="H160" i="1"/>
  <c r="I160" i="1"/>
  <c r="C163" i="1"/>
  <c r="C164" i="1" s="1"/>
  <c r="D163" i="1"/>
  <c r="F163" i="1"/>
  <c r="F164" i="1" s="1"/>
  <c r="G163" i="1"/>
  <c r="H163" i="1"/>
  <c r="I163" i="1"/>
  <c r="H170" i="1"/>
  <c r="E178" i="1"/>
  <c r="G178" i="1"/>
  <c r="E180" i="1"/>
  <c r="K184" i="1"/>
  <c r="H186" i="1"/>
  <c r="G190" i="1"/>
  <c r="G194" i="1"/>
  <c r="G202" i="1"/>
  <c r="G204" i="1"/>
  <c r="K204" i="1" s="1"/>
  <c r="G206" i="1"/>
  <c r="C211" i="1"/>
  <c r="D211" i="1"/>
  <c r="G211" i="1"/>
  <c r="H211" i="1"/>
  <c r="H214" i="1"/>
  <c r="K220" i="1"/>
  <c r="F236" i="1"/>
  <c r="F238" i="1"/>
  <c r="F240" i="1"/>
  <c r="F242" i="1"/>
  <c r="K251" i="1"/>
  <c r="C108" i="9"/>
  <c r="C174" i="9" s="1"/>
  <c r="C114" i="9"/>
  <c r="C146" i="9"/>
  <c r="C168" i="9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B5" i="5"/>
  <c r="AB16" i="5" s="1"/>
  <c r="AC5" i="5"/>
  <c r="AE5" i="5"/>
  <c r="AE15" i="5" s="1"/>
  <c r="AF5" i="5"/>
  <c r="AF31" i="5" s="1"/>
  <c r="AG5" i="5"/>
  <c r="AG9" i="5" s="1"/>
  <c r="AI5" i="5"/>
  <c r="AJ5" i="5"/>
  <c r="AJ29" i="5" s="1"/>
  <c r="AK5" i="5"/>
  <c r="AK14" i="5" s="1"/>
  <c r="AM5" i="5"/>
  <c r="AM9" i="5" s="1"/>
  <c r="AN5" i="5"/>
  <c r="AO5" i="5"/>
  <c r="AO14" i="5" s="1"/>
  <c r="AQ5" i="5"/>
  <c r="AQ22" i="5" s="1"/>
  <c r="AR5" i="5"/>
  <c r="AR24" i="5" s="1"/>
  <c r="AS5" i="5"/>
  <c r="AU5" i="5"/>
  <c r="AU23" i="5" s="1"/>
  <c r="AV5" i="5"/>
  <c r="AV10" i="5" s="1"/>
  <c r="AW5" i="5"/>
  <c r="AW9" i="5" s="1"/>
  <c r="AY5" i="5"/>
  <c r="B9" i="5"/>
  <c r="AC9" i="5"/>
  <c r="AI9" i="5"/>
  <c r="AS9" i="5"/>
  <c r="AU9" i="5"/>
  <c r="AY9" i="5"/>
  <c r="B10" i="5"/>
  <c r="AB10" i="5"/>
  <c r="AC10" i="5"/>
  <c r="AF10" i="5"/>
  <c r="AI10" i="5"/>
  <c r="AN10" i="5"/>
  <c r="AQ10" i="5"/>
  <c r="AS10" i="5"/>
  <c r="AY10" i="5"/>
  <c r="B11" i="5"/>
  <c r="B12" i="5" s="1"/>
  <c r="B13" i="5" s="1"/>
  <c r="AC11" i="5"/>
  <c r="AI11" i="5"/>
  <c r="AO11" i="5"/>
  <c r="AQ11" i="5"/>
  <c r="AS11" i="5"/>
  <c r="AY11" i="5"/>
  <c r="AC12" i="5"/>
  <c r="AI12" i="5"/>
  <c r="AJ12" i="5"/>
  <c r="AN12" i="5"/>
  <c r="AS12" i="5"/>
  <c r="AY12" i="5"/>
  <c r="AC13" i="5"/>
  <c r="AI13" i="5"/>
  <c r="AM13" i="5"/>
  <c r="AS13" i="5"/>
  <c r="AY13" i="5"/>
  <c r="B14" i="5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AC14" i="5"/>
  <c r="AE14" i="5"/>
  <c r="AI14" i="5"/>
  <c r="AJ14" i="5"/>
  <c r="AN14" i="5"/>
  <c r="AQ14" i="5"/>
  <c r="AS14" i="5"/>
  <c r="AV14" i="5"/>
  <c r="AY14" i="5"/>
  <c r="AC15" i="5"/>
  <c r="AI15" i="5"/>
  <c r="AQ15" i="5"/>
  <c r="AS15" i="5"/>
  <c r="AU15" i="5"/>
  <c r="AY15" i="5"/>
  <c r="AC16" i="5"/>
  <c r="AG16" i="5"/>
  <c r="AI16" i="5"/>
  <c r="AJ16" i="5"/>
  <c r="AN16" i="5"/>
  <c r="AS16" i="5"/>
  <c r="AU16" i="5"/>
  <c r="AY16" i="5"/>
  <c r="AC17" i="5"/>
  <c r="AI17" i="5"/>
  <c r="AK17" i="5"/>
  <c r="AQ17" i="5"/>
  <c r="AS17" i="5"/>
  <c r="AY17" i="5"/>
  <c r="AB18" i="5"/>
  <c r="AC18" i="5"/>
  <c r="AF18" i="5"/>
  <c r="AI18" i="5"/>
  <c r="AK18" i="5"/>
  <c r="AN18" i="5"/>
  <c r="AQ18" i="5"/>
  <c r="AR18" i="5"/>
  <c r="AS18" i="5"/>
  <c r="AV18" i="5"/>
  <c r="AY18" i="5"/>
  <c r="AC19" i="5"/>
  <c r="AG19" i="5"/>
  <c r="AI19" i="5"/>
  <c r="AM19" i="5"/>
  <c r="AN19" i="5"/>
  <c r="AQ19" i="5"/>
  <c r="AS19" i="5"/>
  <c r="AY19" i="5"/>
  <c r="AB20" i="5"/>
  <c r="AC20" i="5"/>
  <c r="AF20" i="5"/>
  <c r="AI20" i="5"/>
  <c r="AK20" i="5"/>
  <c r="AM20" i="5"/>
  <c r="AN20" i="5"/>
  <c r="AQ20" i="5"/>
  <c r="AS20" i="5"/>
  <c r="AW20" i="5"/>
  <c r="AY20" i="5"/>
  <c r="AC21" i="5"/>
  <c r="AI21" i="5"/>
  <c r="AN21" i="5"/>
  <c r="AQ21" i="5"/>
  <c r="AS21" i="5"/>
  <c r="AU21" i="5"/>
  <c r="AY21" i="5"/>
  <c r="AC22" i="5"/>
  <c r="AF22" i="5"/>
  <c r="AG22" i="5"/>
  <c r="AI22" i="5"/>
  <c r="AK22" i="5"/>
  <c r="AN22" i="5"/>
  <c r="AR22" i="5"/>
  <c r="AS22" i="5"/>
  <c r="AV22" i="5"/>
  <c r="AY22" i="5"/>
  <c r="AC23" i="5"/>
  <c r="AG23" i="5"/>
  <c r="AI23" i="5"/>
  <c r="AM23" i="5"/>
  <c r="AN23" i="5"/>
  <c r="AS23" i="5"/>
  <c r="AW23" i="5"/>
  <c r="AY23" i="5"/>
  <c r="AB24" i="5"/>
  <c r="AC24" i="5"/>
  <c r="AF24" i="5"/>
  <c r="AI24" i="5"/>
  <c r="AM24" i="5"/>
  <c r="AN24" i="5"/>
  <c r="AQ24" i="5"/>
  <c r="AS24" i="5"/>
  <c r="AV24" i="5"/>
  <c r="AW24" i="5"/>
  <c r="AY24" i="5"/>
  <c r="AC25" i="5"/>
  <c r="AI25" i="5"/>
  <c r="AN25" i="5"/>
  <c r="AQ25" i="5"/>
  <c r="AS25" i="5"/>
  <c r="AU25" i="5"/>
  <c r="AY25" i="5"/>
  <c r="AC26" i="5"/>
  <c r="AF26" i="5"/>
  <c r="AI26" i="5"/>
  <c r="AJ26" i="5"/>
  <c r="AN26" i="5"/>
  <c r="AO26" i="5"/>
  <c r="AR26" i="5"/>
  <c r="AS26" i="5"/>
  <c r="AW26" i="5"/>
  <c r="AY26" i="5"/>
  <c r="AC27" i="5"/>
  <c r="AE27" i="5"/>
  <c r="AF27" i="5"/>
  <c r="AI27" i="5"/>
  <c r="AJ27" i="5"/>
  <c r="AM27" i="5"/>
  <c r="AN27" i="5"/>
  <c r="AQ27" i="5"/>
  <c r="AR27" i="5"/>
  <c r="AS27" i="5"/>
  <c r="AU27" i="5"/>
  <c r="AV27" i="5"/>
  <c r="AY27" i="5"/>
  <c r="AB28" i="5"/>
  <c r="AC28" i="5"/>
  <c r="AF28" i="5"/>
  <c r="AG28" i="5"/>
  <c r="AI28" i="5"/>
  <c r="AJ28" i="5"/>
  <c r="AK28" i="5"/>
  <c r="AN28" i="5"/>
  <c r="AO28" i="5"/>
  <c r="AS28" i="5"/>
  <c r="AV28" i="5"/>
  <c r="AY28" i="5"/>
  <c r="AB29" i="5"/>
  <c r="AC29" i="5"/>
  <c r="AF29" i="5"/>
  <c r="AI29" i="5"/>
  <c r="AN29" i="5"/>
  <c r="AQ29" i="5"/>
  <c r="AS29" i="5"/>
  <c r="AU29" i="5"/>
  <c r="AV29" i="5"/>
  <c r="AY29" i="5"/>
  <c r="AB30" i="5"/>
  <c r="AC30" i="5"/>
  <c r="AF30" i="5"/>
  <c r="AI30" i="5"/>
  <c r="AJ30" i="5"/>
  <c r="AK30" i="5"/>
  <c r="AN30" i="5"/>
  <c r="AO30" i="5"/>
  <c r="AR30" i="5"/>
  <c r="AS30" i="5"/>
  <c r="AV30" i="5"/>
  <c r="AW30" i="5"/>
  <c r="AY30" i="5"/>
  <c r="B31" i="5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AC31" i="5"/>
  <c r="AE31" i="5"/>
  <c r="AI31" i="5"/>
  <c r="AJ31" i="5"/>
  <c r="AM31" i="5"/>
  <c r="AN31" i="5"/>
  <c r="AR31" i="5"/>
  <c r="AS31" i="5"/>
  <c r="AV31" i="5"/>
  <c r="AY31" i="5"/>
  <c r="AB32" i="5"/>
  <c r="AC32" i="5"/>
  <c r="AG32" i="5"/>
  <c r="AI32" i="5"/>
  <c r="AK32" i="5"/>
  <c r="AN32" i="5"/>
  <c r="AR32" i="5"/>
  <c r="AS32" i="5"/>
  <c r="AV32" i="5"/>
  <c r="AW32" i="5"/>
  <c r="AY32" i="5"/>
  <c r="AB33" i="5"/>
  <c r="AC33" i="5"/>
  <c r="AE33" i="5"/>
  <c r="AF33" i="5"/>
  <c r="AI33" i="5"/>
  <c r="AJ33" i="5"/>
  <c r="AN33" i="5"/>
  <c r="AQ33" i="5"/>
  <c r="AS33" i="5"/>
  <c r="AU33" i="5"/>
  <c r="AY33" i="5"/>
  <c r="AC34" i="5"/>
  <c r="AF34" i="5"/>
  <c r="AI34" i="5"/>
  <c r="AJ34" i="5"/>
  <c r="AN34" i="5"/>
  <c r="AO34" i="5"/>
  <c r="AR34" i="5"/>
  <c r="AS34" i="5"/>
  <c r="AW34" i="5"/>
  <c r="AY34" i="5"/>
  <c r="AB35" i="5"/>
  <c r="AC35" i="5"/>
  <c r="AE35" i="5"/>
  <c r="AF35" i="5"/>
  <c r="AI35" i="5"/>
  <c r="AJ35" i="5"/>
  <c r="AM35" i="5"/>
  <c r="AN35" i="5"/>
  <c r="AQ35" i="5"/>
  <c r="AR35" i="5"/>
  <c r="AS35" i="5"/>
  <c r="AU35" i="5"/>
  <c r="AV35" i="5"/>
  <c r="AY35" i="5"/>
  <c r="AB36" i="5"/>
  <c r="AC36" i="5"/>
  <c r="AF36" i="5"/>
  <c r="AG36" i="5"/>
  <c r="AI36" i="5"/>
  <c r="AJ36" i="5"/>
  <c r="AK36" i="5"/>
  <c r="AN36" i="5"/>
  <c r="AO36" i="5"/>
  <c r="AS36" i="5"/>
  <c r="AV36" i="5"/>
  <c r="AY36" i="5"/>
  <c r="AB37" i="5"/>
  <c r="AC37" i="5"/>
  <c r="AF37" i="5"/>
  <c r="AI37" i="5"/>
  <c r="AM37" i="5"/>
  <c r="AN37" i="5"/>
  <c r="AQ37" i="5"/>
  <c r="AR37" i="5"/>
  <c r="AS37" i="5"/>
  <c r="AU37" i="5"/>
  <c r="AV37" i="5"/>
  <c r="AY37" i="5"/>
  <c r="AB38" i="5"/>
  <c r="AC38" i="5"/>
  <c r="AF38" i="5"/>
  <c r="AG38" i="5"/>
  <c r="AI38" i="5"/>
  <c r="AJ38" i="5"/>
  <c r="AK38" i="5"/>
  <c r="AN38" i="5"/>
  <c r="AO38" i="5"/>
  <c r="AR38" i="5"/>
  <c r="AS38" i="5"/>
  <c r="AV38" i="5"/>
  <c r="AW38" i="5"/>
  <c r="AY38" i="5"/>
  <c r="AC39" i="5"/>
  <c r="AE39" i="5"/>
  <c r="AI39" i="5"/>
  <c r="AJ39" i="5"/>
  <c r="AM39" i="5"/>
  <c r="AN39" i="5"/>
  <c r="AR39" i="5"/>
  <c r="AS39" i="5"/>
  <c r="AV39" i="5"/>
  <c r="AY39" i="5"/>
  <c r="AB40" i="5"/>
  <c r="AC40" i="5"/>
  <c r="AG40" i="5"/>
  <c r="AI40" i="5"/>
  <c r="AK40" i="5"/>
  <c r="AN40" i="5"/>
  <c r="AR40" i="5"/>
  <c r="AS40" i="5"/>
  <c r="AV40" i="5"/>
  <c r="AW40" i="5"/>
  <c r="AY40" i="5"/>
  <c r="AB41" i="5"/>
  <c r="AC41" i="5"/>
  <c r="AE41" i="5"/>
  <c r="AF41" i="5"/>
  <c r="AI41" i="5"/>
  <c r="AJ41" i="5"/>
  <c r="AN41" i="5"/>
  <c r="AQ41" i="5"/>
  <c r="AS41" i="5"/>
  <c r="AU41" i="5"/>
  <c r="AY41" i="5"/>
  <c r="AC42" i="5"/>
  <c r="AF42" i="5"/>
  <c r="AI42" i="5"/>
  <c r="AJ42" i="5"/>
  <c r="AN42" i="5"/>
  <c r="AO42" i="5"/>
  <c r="AR42" i="5"/>
  <c r="AS42" i="5"/>
  <c r="AW42" i="5"/>
  <c r="AY42" i="5"/>
  <c r="AB43" i="5"/>
  <c r="AC43" i="5"/>
  <c r="AE43" i="5"/>
  <c r="AF43" i="5"/>
  <c r="AI43" i="5"/>
  <c r="AJ43" i="5"/>
  <c r="AM43" i="5"/>
  <c r="AN43" i="5"/>
  <c r="AQ43" i="5"/>
  <c r="AR43" i="5"/>
  <c r="AS43" i="5"/>
  <c r="AU43" i="5"/>
  <c r="AV43" i="5"/>
  <c r="AY43" i="5"/>
  <c r="AB44" i="5"/>
  <c r="AC44" i="5"/>
  <c r="AF44" i="5"/>
  <c r="AG44" i="5"/>
  <c r="AI44" i="5"/>
  <c r="AJ44" i="5"/>
  <c r="AK44" i="5"/>
  <c r="AN44" i="5"/>
  <c r="AO44" i="5"/>
  <c r="AS44" i="5"/>
  <c r="AV44" i="5"/>
  <c r="AY44" i="5"/>
  <c r="AB45" i="5"/>
  <c r="AC45" i="5"/>
  <c r="AF45" i="5"/>
  <c r="AI45" i="5"/>
  <c r="AM45" i="5"/>
  <c r="AN45" i="5"/>
  <c r="AQ45" i="5"/>
  <c r="AR45" i="5"/>
  <c r="AS45" i="5"/>
  <c r="AU45" i="5"/>
  <c r="AV45" i="5"/>
  <c r="AY45" i="5"/>
  <c r="AB46" i="5"/>
  <c r="AC46" i="5"/>
  <c r="AF46" i="5"/>
  <c r="AG46" i="5"/>
  <c r="AI46" i="5"/>
  <c r="AJ46" i="5"/>
  <c r="AK46" i="5"/>
  <c r="AN46" i="5"/>
  <c r="AO46" i="5"/>
  <c r="AR46" i="5"/>
  <c r="AS46" i="5"/>
  <c r="AV46" i="5"/>
  <c r="AW46" i="5"/>
  <c r="AY46" i="5"/>
  <c r="AC47" i="5"/>
  <c r="AE47" i="5"/>
  <c r="AI47" i="5"/>
  <c r="AJ47" i="5"/>
  <c r="AM47" i="5"/>
  <c r="AN47" i="5"/>
  <c r="AR47" i="5"/>
  <c r="AS47" i="5"/>
  <c r="AV47" i="5"/>
  <c r="AY47" i="5"/>
  <c r="AB48" i="5"/>
  <c r="AC48" i="5"/>
  <c r="AG48" i="5"/>
  <c r="AI48" i="5"/>
  <c r="AK48" i="5"/>
  <c r="AN48" i="5"/>
  <c r="AR48" i="5"/>
  <c r="AS48" i="5"/>
  <c r="AV48" i="5"/>
  <c r="AW48" i="5"/>
  <c r="AY48" i="5"/>
  <c r="AB49" i="5"/>
  <c r="AC49" i="5"/>
  <c r="AE49" i="5"/>
  <c r="AF49" i="5"/>
  <c r="AI49" i="5"/>
  <c r="AJ49" i="5"/>
  <c r="AM49" i="5"/>
  <c r="AN49" i="5"/>
  <c r="AQ49" i="5"/>
  <c r="AR49" i="5"/>
  <c r="AS49" i="5"/>
  <c r="AU49" i="5"/>
  <c r="AV49" i="5"/>
  <c r="AY49" i="5"/>
  <c r="AB50" i="5"/>
  <c r="AC50" i="5"/>
  <c r="AF50" i="5"/>
  <c r="AG50" i="5"/>
  <c r="AI50" i="5"/>
  <c r="AJ50" i="5"/>
  <c r="AK50" i="5"/>
  <c r="AN50" i="5"/>
  <c r="AO50" i="5"/>
  <c r="AR50" i="5"/>
  <c r="AS50" i="5"/>
  <c r="AV50" i="5"/>
  <c r="AW50" i="5"/>
  <c r="AY50" i="5"/>
  <c r="AB51" i="5"/>
  <c r="AC51" i="5"/>
  <c r="AE51" i="5"/>
  <c r="AF51" i="5"/>
  <c r="AI51" i="5"/>
  <c r="AJ51" i="5"/>
  <c r="AM51" i="5"/>
  <c r="AN51" i="5"/>
  <c r="AQ51" i="5"/>
  <c r="AR51" i="5"/>
  <c r="AS51" i="5"/>
  <c r="AU51" i="5"/>
  <c r="AV51" i="5"/>
  <c r="AY51" i="5"/>
  <c r="AB52" i="5"/>
  <c r="AC52" i="5"/>
  <c r="AF52" i="5"/>
  <c r="AG52" i="5"/>
  <c r="AI52" i="5"/>
  <c r="AJ52" i="5"/>
  <c r="AK52" i="5"/>
  <c r="AN52" i="5"/>
  <c r="AO52" i="5"/>
  <c r="AR52" i="5"/>
  <c r="AS52" i="5"/>
  <c r="AV52" i="5"/>
  <c r="AW52" i="5"/>
  <c r="AY52" i="5"/>
  <c r="AB53" i="5"/>
  <c r="AC53" i="5"/>
  <c r="AE53" i="5"/>
  <c r="AF53" i="5"/>
  <c r="AI53" i="5"/>
  <c r="AJ53" i="5"/>
  <c r="AM53" i="5"/>
  <c r="AN53" i="5"/>
  <c r="AQ53" i="5"/>
  <c r="AR53" i="5"/>
  <c r="AS53" i="5"/>
  <c r="AU53" i="5"/>
  <c r="AV53" i="5"/>
  <c r="AY53" i="5"/>
  <c r="AB54" i="5"/>
  <c r="AC54" i="5"/>
  <c r="AF54" i="5"/>
  <c r="AG54" i="5"/>
  <c r="AI54" i="5"/>
  <c r="AJ54" i="5"/>
  <c r="AK54" i="5"/>
  <c r="AN54" i="5"/>
  <c r="AO54" i="5"/>
  <c r="AR54" i="5"/>
  <c r="AS54" i="5"/>
  <c r="AV54" i="5"/>
  <c r="AW54" i="5"/>
  <c r="AY54" i="5"/>
  <c r="AB55" i="5"/>
  <c r="AC55" i="5"/>
  <c r="AE55" i="5"/>
  <c r="AF55" i="5"/>
  <c r="AI55" i="5"/>
  <c r="AJ55" i="5"/>
  <c r="AM55" i="5"/>
  <c r="AN55" i="5"/>
  <c r="AQ55" i="5"/>
  <c r="AR55" i="5"/>
  <c r="AS55" i="5"/>
  <c r="AU55" i="5"/>
  <c r="AV55" i="5"/>
  <c r="AY55" i="5"/>
  <c r="AB56" i="5"/>
  <c r="AC56" i="5"/>
  <c r="AF56" i="5"/>
  <c r="AG56" i="5"/>
  <c r="AI56" i="5"/>
  <c r="AJ56" i="5"/>
  <c r="AK56" i="5"/>
  <c r="AN56" i="5"/>
  <c r="AO56" i="5"/>
  <c r="AR56" i="5"/>
  <c r="AS56" i="5"/>
  <c r="AV56" i="5"/>
  <c r="AW56" i="5"/>
  <c r="AY56" i="5"/>
  <c r="AB57" i="5"/>
  <c r="AC57" i="5"/>
  <c r="AE57" i="5"/>
  <c r="AF57" i="5"/>
  <c r="AI57" i="5"/>
  <c r="AJ57" i="5"/>
  <c r="AM57" i="5"/>
  <c r="AN57" i="5"/>
  <c r="AQ57" i="5"/>
  <c r="AR57" i="5"/>
  <c r="AS57" i="5"/>
  <c r="AU57" i="5"/>
  <c r="AV57" i="5"/>
  <c r="AY57" i="5"/>
  <c r="AB58" i="5"/>
  <c r="AC58" i="5"/>
  <c r="AF58" i="5"/>
  <c r="AG58" i="5"/>
  <c r="AI58" i="5"/>
  <c r="AJ58" i="5"/>
  <c r="AK58" i="5"/>
  <c r="AN58" i="5"/>
  <c r="AO58" i="5"/>
  <c r="AR58" i="5"/>
  <c r="AS58" i="5"/>
  <c r="AV58" i="5"/>
  <c r="AW58" i="5"/>
  <c r="AY58" i="5"/>
  <c r="AC59" i="5"/>
  <c r="AE59" i="5"/>
  <c r="AG59" i="5"/>
  <c r="AI59" i="5"/>
  <c r="AK59" i="5"/>
  <c r="AM59" i="5"/>
  <c r="AN59" i="5"/>
  <c r="AO59" i="5"/>
  <c r="AQ59" i="5"/>
  <c r="AS59" i="5"/>
  <c r="AU59" i="5"/>
  <c r="AW59" i="5"/>
  <c r="AY59" i="5"/>
  <c r="AB60" i="5"/>
  <c r="AC60" i="5"/>
  <c r="AE60" i="5"/>
  <c r="AF60" i="5"/>
  <c r="AG60" i="5"/>
  <c r="AI60" i="5"/>
  <c r="AJ60" i="5"/>
  <c r="AK60" i="5"/>
  <c r="AM60" i="5"/>
  <c r="AN60" i="5"/>
  <c r="AO60" i="5"/>
  <c r="AQ60" i="5"/>
  <c r="AR60" i="5"/>
  <c r="AS60" i="5"/>
  <c r="AU60" i="5"/>
  <c r="AV60" i="5"/>
  <c r="AW60" i="5"/>
  <c r="AY60" i="5"/>
  <c r="AC61" i="5"/>
  <c r="AE61" i="5"/>
  <c r="AG61" i="5"/>
  <c r="AI61" i="5"/>
  <c r="AK61" i="5"/>
  <c r="AM61" i="5"/>
  <c r="AN61" i="5"/>
  <c r="AO61" i="5"/>
  <c r="AQ61" i="5"/>
  <c r="AS61" i="5"/>
  <c r="AU61" i="5"/>
  <c r="AW61" i="5"/>
  <c r="AY61" i="5"/>
  <c r="AB62" i="5"/>
  <c r="AC62" i="5"/>
  <c r="AE62" i="5"/>
  <c r="AF62" i="5"/>
  <c r="AG62" i="5"/>
  <c r="AI62" i="5"/>
  <c r="AJ62" i="5"/>
  <c r="AK62" i="5"/>
  <c r="AM62" i="5"/>
  <c r="AN62" i="5"/>
  <c r="AO62" i="5"/>
  <c r="AQ62" i="5"/>
  <c r="AR62" i="5"/>
  <c r="AS62" i="5"/>
  <c r="AU62" i="5"/>
  <c r="AV62" i="5"/>
  <c r="AW62" i="5"/>
  <c r="AY62" i="5"/>
  <c r="AC63" i="5"/>
  <c r="AE63" i="5"/>
  <c r="AF63" i="5"/>
  <c r="AG63" i="5"/>
  <c r="AI63" i="5"/>
  <c r="AK63" i="5"/>
  <c r="AM63" i="5"/>
  <c r="AN63" i="5"/>
  <c r="AO63" i="5"/>
  <c r="AQ63" i="5"/>
  <c r="AS63" i="5"/>
  <c r="AU63" i="5"/>
  <c r="AW63" i="5"/>
  <c r="AY63" i="5"/>
  <c r="AB64" i="5"/>
  <c r="AC64" i="5"/>
  <c r="AE64" i="5"/>
  <c r="AF64" i="5"/>
  <c r="AG64" i="5"/>
  <c r="AI64" i="5"/>
  <c r="AJ64" i="5"/>
  <c r="AK64" i="5"/>
  <c r="AM64" i="5"/>
  <c r="AN64" i="5"/>
  <c r="AO64" i="5"/>
  <c r="AQ64" i="5"/>
  <c r="AR64" i="5"/>
  <c r="AS64" i="5"/>
  <c r="AU64" i="5"/>
  <c r="AV64" i="5"/>
  <c r="AW64" i="5"/>
  <c r="AY64" i="5"/>
  <c r="AC65" i="5"/>
  <c r="AE65" i="5"/>
  <c r="AF65" i="5"/>
  <c r="AG65" i="5"/>
  <c r="AI65" i="5"/>
  <c r="AK65" i="5"/>
  <c r="AM65" i="5"/>
  <c r="AN65" i="5"/>
  <c r="AO65" i="5"/>
  <c r="AQ65" i="5"/>
  <c r="AS65" i="5"/>
  <c r="AU65" i="5"/>
  <c r="AV65" i="5"/>
  <c r="AW65" i="5"/>
  <c r="AY65" i="5"/>
  <c r="AB66" i="5"/>
  <c r="AC66" i="5"/>
  <c r="AE66" i="5"/>
  <c r="AF66" i="5"/>
  <c r="AG66" i="5"/>
  <c r="AI66" i="5"/>
  <c r="AJ66" i="5"/>
  <c r="AK66" i="5"/>
  <c r="AM66" i="5"/>
  <c r="AN66" i="5"/>
  <c r="AO66" i="5"/>
  <c r="AQ66" i="5"/>
  <c r="AR66" i="5"/>
  <c r="AS66" i="5"/>
  <c r="AU66" i="5"/>
  <c r="AV66" i="5"/>
  <c r="AW66" i="5"/>
  <c r="AY66" i="5"/>
  <c r="AC67" i="5"/>
  <c r="AE67" i="5"/>
  <c r="AF67" i="5"/>
  <c r="AG67" i="5"/>
  <c r="AI67" i="5"/>
  <c r="AK67" i="5"/>
  <c r="AM67" i="5"/>
  <c r="AN67" i="5"/>
  <c r="AO67" i="5"/>
  <c r="AQ67" i="5"/>
  <c r="AS67" i="5"/>
  <c r="AU67" i="5"/>
  <c r="AV67" i="5"/>
  <c r="AW67" i="5"/>
  <c r="AY67" i="5"/>
  <c r="AB68" i="5"/>
  <c r="AC68" i="5"/>
  <c r="AE68" i="5"/>
  <c r="AF68" i="5"/>
  <c r="AG68" i="5"/>
  <c r="AI68" i="5"/>
  <c r="AJ68" i="5"/>
  <c r="AK68" i="5"/>
  <c r="AM68" i="5"/>
  <c r="AN68" i="5"/>
  <c r="AO68" i="5"/>
  <c r="AQ68" i="5"/>
  <c r="AR68" i="5"/>
  <c r="AS68" i="5"/>
  <c r="AU68" i="5"/>
  <c r="AV68" i="5"/>
  <c r="AW68" i="5"/>
  <c r="AY68" i="5"/>
  <c r="AC69" i="5"/>
  <c r="AE69" i="5"/>
  <c r="AF69" i="5"/>
  <c r="AG69" i="5"/>
  <c r="AI69" i="5"/>
  <c r="AK69" i="5"/>
  <c r="AM69" i="5"/>
  <c r="AN69" i="5"/>
  <c r="AO69" i="5"/>
  <c r="AQ69" i="5"/>
  <c r="AS69" i="5"/>
  <c r="AU69" i="5"/>
  <c r="AV69" i="5"/>
  <c r="AW69" i="5"/>
  <c r="AY69" i="5"/>
  <c r="AB70" i="5"/>
  <c r="AC70" i="5"/>
  <c r="AE70" i="5"/>
  <c r="AF70" i="5"/>
  <c r="AG70" i="5"/>
  <c r="AI70" i="5"/>
  <c r="AJ70" i="5"/>
  <c r="AK70" i="5"/>
  <c r="AM70" i="5"/>
  <c r="AN70" i="5"/>
  <c r="AO70" i="5"/>
  <c r="AQ70" i="5"/>
  <c r="AR70" i="5"/>
  <c r="AS70" i="5"/>
  <c r="AU70" i="5"/>
  <c r="AV70" i="5"/>
  <c r="AW70" i="5"/>
  <c r="AY70" i="5"/>
  <c r="AC71" i="5"/>
  <c r="AE71" i="5"/>
  <c r="AF71" i="5"/>
  <c r="AG71" i="5"/>
  <c r="AI71" i="5"/>
  <c r="AK71" i="5"/>
  <c r="AM71" i="5"/>
  <c r="AN71" i="5"/>
  <c r="AO71" i="5"/>
  <c r="AQ71" i="5"/>
  <c r="AS71" i="5"/>
  <c r="AU71" i="5"/>
  <c r="AV71" i="5"/>
  <c r="AW71" i="5"/>
  <c r="AY71" i="5"/>
  <c r="AB72" i="5"/>
  <c r="AC72" i="5"/>
  <c r="AE72" i="5"/>
  <c r="AF72" i="5"/>
  <c r="AG72" i="5"/>
  <c r="AI72" i="5"/>
  <c r="AJ72" i="5"/>
  <c r="AK72" i="5"/>
  <c r="AM72" i="5"/>
  <c r="AN72" i="5"/>
  <c r="AO72" i="5"/>
  <c r="AQ72" i="5"/>
  <c r="AR72" i="5"/>
  <c r="AS72" i="5"/>
  <c r="AU72" i="5"/>
  <c r="AV72" i="5"/>
  <c r="AW72" i="5"/>
  <c r="AY72" i="5"/>
  <c r="AC73" i="5"/>
  <c r="AE73" i="5"/>
  <c r="AF73" i="5"/>
  <c r="AG73" i="5"/>
  <c r="AI73" i="5"/>
  <c r="AK73" i="5"/>
  <c r="AM73" i="5"/>
  <c r="AN73" i="5"/>
  <c r="AO73" i="5"/>
  <c r="AQ73" i="5"/>
  <c r="AS73" i="5"/>
  <c r="AU73" i="5"/>
  <c r="AV73" i="5"/>
  <c r="AW73" i="5"/>
  <c r="AY73" i="5"/>
  <c r="AB74" i="5"/>
  <c r="AC74" i="5"/>
  <c r="AE74" i="5"/>
  <c r="AF74" i="5"/>
  <c r="AG74" i="5"/>
  <c r="AI74" i="5"/>
  <c r="AJ74" i="5"/>
  <c r="AK74" i="5"/>
  <c r="AM74" i="5"/>
  <c r="AN74" i="5"/>
  <c r="AO74" i="5"/>
  <c r="AQ74" i="5"/>
  <c r="AR74" i="5"/>
  <c r="AS74" i="5"/>
  <c r="AU74" i="5"/>
  <c r="AV74" i="5"/>
  <c r="AW74" i="5"/>
  <c r="AY74" i="5"/>
  <c r="AC75" i="5"/>
  <c r="AE75" i="5"/>
  <c r="AF75" i="5"/>
  <c r="AG75" i="5"/>
  <c r="AI75" i="5"/>
  <c r="AJ75" i="5"/>
  <c r="AK75" i="5"/>
  <c r="AM75" i="5"/>
  <c r="AN75" i="5"/>
  <c r="AO75" i="5"/>
  <c r="AQ75" i="5"/>
  <c r="AS75" i="5"/>
  <c r="AU75" i="5"/>
  <c r="AV75" i="5"/>
  <c r="AW75" i="5"/>
  <c r="AY75" i="5"/>
  <c r="AB76" i="5"/>
  <c r="AC76" i="5"/>
  <c r="AE76" i="5"/>
  <c r="AF76" i="5"/>
  <c r="AG76" i="5"/>
  <c r="AI76" i="5"/>
  <c r="AJ76" i="5"/>
  <c r="AK76" i="5"/>
  <c r="AM76" i="5"/>
  <c r="AN76" i="5"/>
  <c r="AO76" i="5"/>
  <c r="AQ76" i="5"/>
  <c r="AR76" i="5"/>
  <c r="AS76" i="5"/>
  <c r="AU76" i="5"/>
  <c r="AV76" i="5"/>
  <c r="AW76" i="5"/>
  <c r="AY76" i="5"/>
  <c r="AC77" i="5"/>
  <c r="AE77" i="5"/>
  <c r="AF77" i="5"/>
  <c r="AG77" i="5"/>
  <c r="AI77" i="5"/>
  <c r="AJ77" i="5"/>
  <c r="AK77" i="5"/>
  <c r="AM77" i="5"/>
  <c r="AN77" i="5"/>
  <c r="AO77" i="5"/>
  <c r="AQ77" i="5"/>
  <c r="AS77" i="5"/>
  <c r="AU77" i="5"/>
  <c r="AV77" i="5"/>
  <c r="AW77" i="5"/>
  <c r="AY77" i="5"/>
  <c r="AB78" i="5"/>
  <c r="AC78" i="5"/>
  <c r="AE78" i="5"/>
  <c r="AF78" i="5"/>
  <c r="AG78" i="5"/>
  <c r="AI78" i="5"/>
  <c r="AJ78" i="5"/>
  <c r="AK78" i="5"/>
  <c r="AM78" i="5"/>
  <c r="AN78" i="5"/>
  <c r="AO78" i="5"/>
  <c r="AQ78" i="5"/>
  <c r="AR78" i="5"/>
  <c r="AS78" i="5"/>
  <c r="AU78" i="5"/>
  <c r="AV78" i="5"/>
  <c r="AW78" i="5"/>
  <c r="AY78" i="5"/>
  <c r="AC79" i="5"/>
  <c r="AE79" i="5"/>
  <c r="AF79" i="5"/>
  <c r="AG79" i="5"/>
  <c r="AI79" i="5"/>
  <c r="AJ79" i="5"/>
  <c r="AK79" i="5"/>
  <c r="AM79" i="5"/>
  <c r="AN79" i="5"/>
  <c r="AO79" i="5"/>
  <c r="AQ79" i="5"/>
  <c r="AS79" i="5"/>
  <c r="AU79" i="5"/>
  <c r="AV79" i="5"/>
  <c r="AW79" i="5"/>
  <c r="AY79" i="5"/>
  <c r="AB80" i="5"/>
  <c r="AC80" i="5"/>
  <c r="AE80" i="5"/>
  <c r="AF80" i="5"/>
  <c r="AG80" i="5"/>
  <c r="AI80" i="5"/>
  <c r="AJ80" i="5"/>
  <c r="AK80" i="5"/>
  <c r="AM80" i="5"/>
  <c r="AN80" i="5"/>
  <c r="AO80" i="5"/>
  <c r="AQ80" i="5"/>
  <c r="AR80" i="5"/>
  <c r="AS80" i="5"/>
  <c r="AU80" i="5"/>
  <c r="AV80" i="5"/>
  <c r="AW80" i="5"/>
  <c r="AY80" i="5"/>
  <c r="AB81" i="5"/>
  <c r="AC81" i="5"/>
  <c r="AE81" i="5"/>
  <c r="AF81" i="5"/>
  <c r="AG81" i="5"/>
  <c r="AI81" i="5"/>
  <c r="AJ81" i="5"/>
  <c r="AK81" i="5"/>
  <c r="AM81" i="5"/>
  <c r="AN81" i="5"/>
  <c r="AO81" i="5"/>
  <c r="AQ81" i="5"/>
  <c r="AS81" i="5"/>
  <c r="AU81" i="5"/>
  <c r="AV81" i="5"/>
  <c r="AW81" i="5"/>
  <c r="AY81" i="5"/>
  <c r="AB82" i="5"/>
  <c r="AC82" i="5"/>
  <c r="AE82" i="5"/>
  <c r="AF82" i="5"/>
  <c r="AG82" i="5"/>
  <c r="AI82" i="5"/>
  <c r="AJ82" i="5"/>
  <c r="AK82" i="5"/>
  <c r="AM82" i="5"/>
  <c r="AN82" i="5"/>
  <c r="AO82" i="5"/>
  <c r="AQ82" i="5"/>
  <c r="AR82" i="5"/>
  <c r="AS82" i="5"/>
  <c r="AU82" i="5"/>
  <c r="AV82" i="5"/>
  <c r="AW82" i="5"/>
  <c r="AY82" i="5"/>
  <c r="AB83" i="5"/>
  <c r="AC83" i="5"/>
  <c r="AE83" i="5"/>
  <c r="AF83" i="5"/>
  <c r="AG83" i="5"/>
  <c r="AI83" i="5"/>
  <c r="AJ83" i="5"/>
  <c r="AK83" i="5"/>
  <c r="AM83" i="5"/>
  <c r="AN83" i="5"/>
  <c r="AO83" i="5"/>
  <c r="AQ83" i="5"/>
  <c r="AR83" i="5"/>
  <c r="AS83" i="5"/>
  <c r="AU83" i="5"/>
  <c r="AV83" i="5"/>
  <c r="AW83" i="5"/>
  <c r="AY83" i="5"/>
  <c r="AB84" i="5"/>
  <c r="AC84" i="5"/>
  <c r="AE84" i="5"/>
  <c r="AF84" i="5"/>
  <c r="AG84" i="5"/>
  <c r="AI84" i="5"/>
  <c r="AJ84" i="5"/>
  <c r="AK84" i="5"/>
  <c r="AM84" i="5"/>
  <c r="AN84" i="5"/>
  <c r="AO84" i="5"/>
  <c r="AQ84" i="5"/>
  <c r="AR84" i="5"/>
  <c r="AS84" i="5"/>
  <c r="AU84" i="5"/>
  <c r="AV84" i="5"/>
  <c r="AW84" i="5"/>
  <c r="AY84" i="5"/>
  <c r="AB85" i="5"/>
  <c r="AC85" i="5"/>
  <c r="AE85" i="5"/>
  <c r="AF85" i="5"/>
  <c r="AG85" i="5"/>
  <c r="AI85" i="5"/>
  <c r="AJ85" i="5"/>
  <c r="AK85" i="5"/>
  <c r="AM85" i="5"/>
  <c r="AN85" i="5"/>
  <c r="AO85" i="5"/>
  <c r="AQ85" i="5"/>
  <c r="AR85" i="5"/>
  <c r="AS85" i="5"/>
  <c r="AU85" i="5"/>
  <c r="AV85" i="5"/>
  <c r="AW85" i="5"/>
  <c r="AY85" i="5"/>
  <c r="AB86" i="5"/>
  <c r="AC86" i="5"/>
  <c r="AE86" i="5"/>
  <c r="AF86" i="5"/>
  <c r="AG86" i="5"/>
  <c r="AI86" i="5"/>
  <c r="AJ86" i="5"/>
  <c r="AK86" i="5"/>
  <c r="AM86" i="5"/>
  <c r="AN86" i="5"/>
  <c r="AO86" i="5"/>
  <c r="AQ86" i="5"/>
  <c r="AR86" i="5"/>
  <c r="AS86" i="5"/>
  <c r="AU86" i="5"/>
  <c r="AV86" i="5"/>
  <c r="AW86" i="5"/>
  <c r="AY86" i="5"/>
  <c r="AB87" i="5"/>
  <c r="AC87" i="5"/>
  <c r="AE87" i="5"/>
  <c r="AF87" i="5"/>
  <c r="AG87" i="5"/>
  <c r="AI87" i="5"/>
  <c r="AJ87" i="5"/>
  <c r="AK87" i="5"/>
  <c r="AM87" i="5"/>
  <c r="AN87" i="5"/>
  <c r="AO87" i="5"/>
  <c r="AQ87" i="5"/>
  <c r="AR87" i="5"/>
  <c r="AS87" i="5"/>
  <c r="AU87" i="5"/>
  <c r="AV87" i="5"/>
  <c r="AW87" i="5"/>
  <c r="AY87" i="5"/>
  <c r="AB88" i="5"/>
  <c r="AC88" i="5"/>
  <c r="AE88" i="5"/>
  <c r="AF88" i="5"/>
  <c r="AG88" i="5"/>
  <c r="AI88" i="5"/>
  <c r="AJ88" i="5"/>
  <c r="AK88" i="5"/>
  <c r="AM88" i="5"/>
  <c r="AN88" i="5"/>
  <c r="AO88" i="5"/>
  <c r="AQ88" i="5"/>
  <c r="AR88" i="5"/>
  <c r="AS88" i="5"/>
  <c r="AU88" i="5"/>
  <c r="AV88" i="5"/>
  <c r="AW88" i="5"/>
  <c r="AY88" i="5"/>
  <c r="AB89" i="5"/>
  <c r="AC89" i="5"/>
  <c r="AE89" i="5"/>
  <c r="AF89" i="5"/>
  <c r="AG89" i="5"/>
  <c r="AI89" i="5"/>
  <c r="AJ89" i="5"/>
  <c r="AK89" i="5"/>
  <c r="AM89" i="5"/>
  <c r="AN89" i="5"/>
  <c r="AO89" i="5"/>
  <c r="AQ89" i="5"/>
  <c r="AR89" i="5"/>
  <c r="AS89" i="5"/>
  <c r="AU89" i="5"/>
  <c r="AV89" i="5"/>
  <c r="AW89" i="5"/>
  <c r="AY89" i="5"/>
  <c r="AB90" i="5"/>
  <c r="AC90" i="5"/>
  <c r="AE90" i="5"/>
  <c r="AF90" i="5"/>
  <c r="AG90" i="5"/>
  <c r="AI90" i="5"/>
  <c r="AJ90" i="5"/>
  <c r="AK90" i="5"/>
  <c r="AM90" i="5"/>
  <c r="AN90" i="5"/>
  <c r="AO90" i="5"/>
  <c r="AQ90" i="5"/>
  <c r="AR90" i="5"/>
  <c r="AS90" i="5"/>
  <c r="AU90" i="5"/>
  <c r="AV90" i="5"/>
  <c r="AW90" i="5"/>
  <c r="AY90" i="5"/>
  <c r="AB91" i="5"/>
  <c r="AC91" i="5"/>
  <c r="AE91" i="5"/>
  <c r="AF91" i="5"/>
  <c r="AG91" i="5"/>
  <c r="AI91" i="5"/>
  <c r="AJ91" i="5"/>
  <c r="AK91" i="5"/>
  <c r="AM91" i="5"/>
  <c r="AN91" i="5"/>
  <c r="AO91" i="5"/>
  <c r="AQ91" i="5"/>
  <c r="AR91" i="5"/>
  <c r="AS91" i="5"/>
  <c r="AU91" i="5"/>
  <c r="AV91" i="5"/>
  <c r="AW91" i="5"/>
  <c r="AY91" i="5"/>
  <c r="AB92" i="5"/>
  <c r="AC92" i="5"/>
  <c r="AE92" i="5"/>
  <c r="AF92" i="5"/>
  <c r="AG92" i="5"/>
  <c r="AI92" i="5"/>
  <c r="AJ92" i="5"/>
  <c r="AK92" i="5"/>
  <c r="AM92" i="5"/>
  <c r="AN92" i="5"/>
  <c r="AO92" i="5"/>
  <c r="AQ92" i="5"/>
  <c r="AR92" i="5"/>
  <c r="AS92" i="5"/>
  <c r="AU92" i="5"/>
  <c r="AV92" i="5"/>
  <c r="AW92" i="5"/>
  <c r="AY92" i="5"/>
  <c r="AB93" i="5"/>
  <c r="AC93" i="5"/>
  <c r="AE93" i="5"/>
  <c r="AF93" i="5"/>
  <c r="AG93" i="5"/>
  <c r="AI93" i="5"/>
  <c r="AJ93" i="5"/>
  <c r="AK93" i="5"/>
  <c r="AM93" i="5"/>
  <c r="AN93" i="5"/>
  <c r="AO93" i="5"/>
  <c r="AQ93" i="5"/>
  <c r="AR93" i="5"/>
  <c r="AS93" i="5"/>
  <c r="AU93" i="5"/>
  <c r="AV93" i="5"/>
  <c r="AW93" i="5"/>
  <c r="AY93" i="5"/>
  <c r="AB94" i="5"/>
  <c r="AC94" i="5"/>
  <c r="AE94" i="5"/>
  <c r="AF94" i="5"/>
  <c r="AG94" i="5"/>
  <c r="AI94" i="5"/>
  <c r="AJ94" i="5"/>
  <c r="AK94" i="5"/>
  <c r="AM94" i="5"/>
  <c r="AN94" i="5"/>
  <c r="AO94" i="5"/>
  <c r="AQ94" i="5"/>
  <c r="AR94" i="5"/>
  <c r="AS94" i="5"/>
  <c r="AU94" i="5"/>
  <c r="AV94" i="5"/>
  <c r="AW94" i="5"/>
  <c r="AY94" i="5"/>
  <c r="AB95" i="5"/>
  <c r="AC95" i="5"/>
  <c r="AE95" i="5"/>
  <c r="AF95" i="5"/>
  <c r="AG95" i="5"/>
  <c r="AI95" i="5"/>
  <c r="AJ95" i="5"/>
  <c r="AK95" i="5"/>
  <c r="AM95" i="5"/>
  <c r="AN95" i="5"/>
  <c r="AO95" i="5"/>
  <c r="AQ95" i="5"/>
  <c r="AR95" i="5"/>
  <c r="AS95" i="5"/>
  <c r="AU95" i="5"/>
  <c r="AV95" i="5"/>
  <c r="AW95" i="5"/>
  <c r="AY95" i="5"/>
  <c r="AB96" i="5"/>
  <c r="AC96" i="5"/>
  <c r="AE96" i="5"/>
  <c r="AF96" i="5"/>
  <c r="AG96" i="5"/>
  <c r="AI96" i="5"/>
  <c r="AJ96" i="5"/>
  <c r="AK96" i="5"/>
  <c r="AM96" i="5"/>
  <c r="AN96" i="5"/>
  <c r="AO96" i="5"/>
  <c r="AQ96" i="5"/>
  <c r="AR96" i="5"/>
  <c r="AS96" i="5"/>
  <c r="AU96" i="5"/>
  <c r="AV96" i="5"/>
  <c r="AW96" i="5"/>
  <c r="AY96" i="5"/>
  <c r="AB97" i="5"/>
  <c r="AC97" i="5"/>
  <c r="AE97" i="5"/>
  <c r="AF97" i="5"/>
  <c r="AG97" i="5"/>
  <c r="AI97" i="5"/>
  <c r="AJ97" i="5"/>
  <c r="AK97" i="5"/>
  <c r="AM97" i="5"/>
  <c r="AN97" i="5"/>
  <c r="AO97" i="5"/>
  <c r="AQ97" i="5"/>
  <c r="AR97" i="5"/>
  <c r="AS97" i="5"/>
  <c r="AU97" i="5"/>
  <c r="AV97" i="5"/>
  <c r="AW97" i="5"/>
  <c r="AY97" i="5"/>
  <c r="AB98" i="5"/>
  <c r="AC98" i="5"/>
  <c r="AE98" i="5"/>
  <c r="AF98" i="5"/>
  <c r="AG98" i="5"/>
  <c r="AI98" i="5"/>
  <c r="AJ98" i="5"/>
  <c r="AK98" i="5"/>
  <c r="AM98" i="5"/>
  <c r="AN98" i="5"/>
  <c r="AO98" i="5"/>
  <c r="AQ98" i="5"/>
  <c r="AR98" i="5"/>
  <c r="AS98" i="5"/>
  <c r="AU98" i="5"/>
  <c r="AV98" i="5"/>
  <c r="AW98" i="5"/>
  <c r="AY98" i="5"/>
  <c r="AB99" i="5"/>
  <c r="AC99" i="5"/>
  <c r="AE99" i="5"/>
  <c r="AF99" i="5"/>
  <c r="AG99" i="5"/>
  <c r="AI99" i="5"/>
  <c r="AJ99" i="5"/>
  <c r="AK99" i="5"/>
  <c r="AM99" i="5"/>
  <c r="AN99" i="5"/>
  <c r="AO99" i="5"/>
  <c r="AQ99" i="5"/>
  <c r="AR99" i="5"/>
  <c r="AS99" i="5"/>
  <c r="AU99" i="5"/>
  <c r="AV99" i="5"/>
  <c r="AW99" i="5"/>
  <c r="AY99" i="5"/>
  <c r="AB100" i="5"/>
  <c r="AC100" i="5"/>
  <c r="AE100" i="5"/>
  <c r="AF100" i="5"/>
  <c r="AG100" i="5"/>
  <c r="AI100" i="5"/>
  <c r="AJ100" i="5"/>
  <c r="AK100" i="5"/>
  <c r="AM100" i="5"/>
  <c r="AN100" i="5"/>
  <c r="AO100" i="5"/>
  <c r="AQ100" i="5"/>
  <c r="AR100" i="5"/>
  <c r="AS100" i="5"/>
  <c r="AU100" i="5"/>
  <c r="AV100" i="5"/>
  <c r="AW100" i="5"/>
  <c r="AY100" i="5"/>
  <c r="AB101" i="5"/>
  <c r="AC101" i="5"/>
  <c r="AE101" i="5"/>
  <c r="AF101" i="5"/>
  <c r="AG101" i="5"/>
  <c r="AI101" i="5"/>
  <c r="AJ101" i="5"/>
  <c r="AK101" i="5"/>
  <c r="AM101" i="5"/>
  <c r="AN101" i="5"/>
  <c r="AO101" i="5"/>
  <c r="AQ101" i="5"/>
  <c r="AR101" i="5"/>
  <c r="AS101" i="5"/>
  <c r="AU101" i="5"/>
  <c r="AV101" i="5"/>
  <c r="AW101" i="5"/>
  <c r="AY101" i="5"/>
  <c r="AB102" i="5"/>
  <c r="AC102" i="5"/>
  <c r="AE102" i="5"/>
  <c r="AF102" i="5"/>
  <c r="AG102" i="5"/>
  <c r="AI102" i="5"/>
  <c r="AJ102" i="5"/>
  <c r="AK102" i="5"/>
  <c r="AM102" i="5"/>
  <c r="AN102" i="5"/>
  <c r="AO102" i="5"/>
  <c r="AQ102" i="5"/>
  <c r="AR102" i="5"/>
  <c r="AS102" i="5"/>
  <c r="AU102" i="5"/>
  <c r="AV102" i="5"/>
  <c r="AW102" i="5"/>
  <c r="AY102" i="5"/>
  <c r="AB103" i="5"/>
  <c r="AC103" i="5"/>
  <c r="AE103" i="5"/>
  <c r="AF103" i="5"/>
  <c r="AG103" i="5"/>
  <c r="AI103" i="5"/>
  <c r="AJ103" i="5"/>
  <c r="AK103" i="5"/>
  <c r="AM103" i="5"/>
  <c r="AN103" i="5"/>
  <c r="AO103" i="5"/>
  <c r="AQ103" i="5"/>
  <c r="AR103" i="5"/>
  <c r="AS103" i="5"/>
  <c r="AU103" i="5"/>
  <c r="AV103" i="5"/>
  <c r="AW103" i="5"/>
  <c r="AY103" i="5"/>
  <c r="AB104" i="5"/>
  <c r="AC104" i="5"/>
  <c r="AE104" i="5"/>
  <c r="AF104" i="5"/>
  <c r="AG104" i="5"/>
  <c r="AI104" i="5"/>
  <c r="AJ104" i="5"/>
  <c r="AK104" i="5"/>
  <c r="AM104" i="5"/>
  <c r="AN104" i="5"/>
  <c r="AO104" i="5"/>
  <c r="AQ104" i="5"/>
  <c r="AR104" i="5"/>
  <c r="AS104" i="5"/>
  <c r="AU104" i="5"/>
  <c r="AV104" i="5"/>
  <c r="AW104" i="5"/>
  <c r="AY104" i="5"/>
  <c r="AB105" i="5"/>
  <c r="AC105" i="5"/>
  <c r="AE105" i="5"/>
  <c r="AF105" i="5"/>
  <c r="AG105" i="5"/>
  <c r="AI105" i="5"/>
  <c r="AJ105" i="5"/>
  <c r="AK105" i="5"/>
  <c r="AM105" i="5"/>
  <c r="AN105" i="5"/>
  <c r="AO105" i="5"/>
  <c r="AQ105" i="5"/>
  <c r="AR105" i="5"/>
  <c r="AS105" i="5"/>
  <c r="AU105" i="5"/>
  <c r="AV105" i="5"/>
  <c r="AW105" i="5"/>
  <c r="AY105" i="5"/>
  <c r="AB106" i="5"/>
  <c r="AC106" i="5"/>
  <c r="AE106" i="5"/>
  <c r="AF106" i="5"/>
  <c r="AG106" i="5"/>
  <c r="AI106" i="5"/>
  <c r="AJ106" i="5"/>
  <c r="AK106" i="5"/>
  <c r="AM106" i="5"/>
  <c r="AN106" i="5"/>
  <c r="AO106" i="5"/>
  <c r="AQ106" i="5"/>
  <c r="AR106" i="5"/>
  <c r="AS106" i="5"/>
  <c r="AU106" i="5"/>
  <c r="AV106" i="5"/>
  <c r="AW106" i="5"/>
  <c r="AY106" i="5"/>
  <c r="AB107" i="5"/>
  <c r="AC107" i="5"/>
  <c r="AE107" i="5"/>
  <c r="AF107" i="5"/>
  <c r="AG107" i="5"/>
  <c r="AI107" i="5"/>
  <c r="AJ107" i="5"/>
  <c r="AK107" i="5"/>
  <c r="AM107" i="5"/>
  <c r="AN107" i="5"/>
  <c r="AO107" i="5"/>
  <c r="AQ107" i="5"/>
  <c r="AR107" i="5"/>
  <c r="AS107" i="5"/>
  <c r="AU107" i="5"/>
  <c r="AV107" i="5"/>
  <c r="AW107" i="5"/>
  <c r="AY107" i="5"/>
  <c r="AB108" i="5"/>
  <c r="AC108" i="5"/>
  <c r="AE108" i="5"/>
  <c r="AF108" i="5"/>
  <c r="AG108" i="5"/>
  <c r="AI108" i="5"/>
  <c r="AJ108" i="5"/>
  <c r="AK108" i="5"/>
  <c r="AM108" i="5"/>
  <c r="AN108" i="5"/>
  <c r="AO108" i="5"/>
  <c r="AQ108" i="5"/>
  <c r="AR108" i="5"/>
  <c r="AS108" i="5"/>
  <c r="AU108" i="5"/>
  <c r="AV108" i="5"/>
  <c r="AW108" i="5"/>
  <c r="AY108" i="5"/>
  <c r="AB109" i="5"/>
  <c r="AC109" i="5"/>
  <c r="AE109" i="5"/>
  <c r="AF109" i="5"/>
  <c r="AG109" i="5"/>
  <c r="AI109" i="5"/>
  <c r="AJ109" i="5"/>
  <c r="AK109" i="5"/>
  <c r="AM109" i="5"/>
  <c r="AN109" i="5"/>
  <c r="AO109" i="5"/>
  <c r="AQ109" i="5"/>
  <c r="AR109" i="5"/>
  <c r="AS109" i="5"/>
  <c r="AU109" i="5"/>
  <c r="AV109" i="5"/>
  <c r="AW109" i="5"/>
  <c r="AY109" i="5"/>
  <c r="AB110" i="5"/>
  <c r="AC110" i="5"/>
  <c r="AE110" i="5"/>
  <c r="AF110" i="5"/>
  <c r="AG110" i="5"/>
  <c r="AI110" i="5"/>
  <c r="AJ110" i="5"/>
  <c r="AK110" i="5"/>
  <c r="AM110" i="5"/>
  <c r="AN110" i="5"/>
  <c r="AO110" i="5"/>
  <c r="AQ110" i="5"/>
  <c r="AR110" i="5"/>
  <c r="AS110" i="5"/>
  <c r="AU110" i="5"/>
  <c r="AV110" i="5"/>
  <c r="AW110" i="5"/>
  <c r="AY110" i="5"/>
  <c r="D15" i="4"/>
  <c r="J15" i="4"/>
  <c r="D16" i="4"/>
  <c r="J16" i="4"/>
  <c r="D17" i="4"/>
  <c r="J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F43" i="4"/>
  <c r="F44" i="4"/>
  <c r="G62" i="4"/>
  <c r="G68" i="4"/>
  <c r="G74" i="4"/>
  <c r="F5" i="6"/>
  <c r="B10" i="6"/>
  <c r="D10" i="6" s="1"/>
  <c r="C10" i="6" s="1"/>
  <c r="B11" i="6"/>
  <c r="D11" i="6"/>
  <c r="E11" i="6" s="1"/>
  <c r="B12" i="6"/>
  <c r="D12" i="6"/>
  <c r="C12" i="6" s="1"/>
  <c r="E12" i="6"/>
  <c r="I12" i="6"/>
  <c r="B13" i="6"/>
  <c r="D13" i="6" s="1"/>
  <c r="C13" i="6"/>
  <c r="E13" i="6"/>
  <c r="G13" i="6" s="1"/>
  <c r="I13" i="6"/>
  <c r="F18" i="6"/>
  <c r="B23" i="6"/>
  <c r="D23" i="6"/>
  <c r="C23" i="6" s="1"/>
  <c r="B24" i="6"/>
  <c r="D24" i="6"/>
  <c r="C24" i="6" s="1"/>
  <c r="B25" i="6"/>
  <c r="E25" i="6" s="1"/>
  <c r="D25" i="6"/>
  <c r="C25" i="6" s="1"/>
  <c r="B26" i="6"/>
  <c r="D26" i="6" s="1"/>
  <c r="C26" i="6"/>
  <c r="E31" i="6"/>
  <c r="E32" i="6"/>
  <c r="E33" i="6"/>
  <c r="E34" i="6"/>
  <c r="F39" i="6"/>
  <c r="G39" i="6"/>
  <c r="H39" i="6"/>
  <c r="I39" i="6"/>
  <c r="F50" i="6"/>
  <c r="F54" i="6"/>
  <c r="F55" i="6"/>
  <c r="F56" i="6"/>
  <c r="F57" i="6"/>
  <c r="F62" i="6"/>
  <c r="B67" i="6"/>
  <c r="D67" i="6" s="1"/>
  <c r="B68" i="6"/>
  <c r="D68" i="6"/>
  <c r="E68" i="6" s="1"/>
  <c r="B69" i="6"/>
  <c r="E69" i="6" s="1"/>
  <c r="D69" i="6"/>
  <c r="C69" i="6"/>
  <c r="B74" i="6"/>
  <c r="H74" i="6"/>
  <c r="B75" i="6"/>
  <c r="H75" i="6"/>
  <c r="B76" i="6"/>
  <c r="H76" i="6"/>
  <c r="F81" i="6"/>
  <c r="B86" i="6"/>
  <c r="D86" i="6" s="1"/>
  <c r="C86" i="6" s="1"/>
  <c r="B87" i="6"/>
  <c r="B88" i="6"/>
  <c r="D88" i="6" s="1"/>
  <c r="C88" i="6" s="1"/>
  <c r="B92" i="6"/>
  <c r="C92" i="6"/>
  <c r="B93" i="6"/>
  <c r="C93" i="6"/>
  <c r="B94" i="6"/>
  <c r="C94" i="6"/>
  <c r="F101" i="6"/>
  <c r="B106" i="6"/>
  <c r="D106" i="6" s="1"/>
  <c r="C106" i="6" s="1"/>
  <c r="B107" i="6"/>
  <c r="D107" i="6" s="1"/>
  <c r="C107" i="6" s="1"/>
  <c r="B108" i="6"/>
  <c r="D108" i="6" s="1"/>
  <c r="C108" i="6" s="1"/>
  <c r="B112" i="6"/>
  <c r="C112" i="6"/>
  <c r="B113" i="6"/>
  <c r="C113" i="6"/>
  <c r="B114" i="6"/>
  <c r="C114" i="6"/>
  <c r="F119" i="6"/>
  <c r="J119" i="6"/>
  <c r="B124" i="6"/>
  <c r="C124" i="6"/>
  <c r="D124" i="6"/>
  <c r="E124" i="6"/>
  <c r="I124" i="6" s="1"/>
  <c r="B125" i="6"/>
  <c r="D125" i="6" s="1"/>
  <c r="B126" i="6"/>
  <c r="D126" i="6" s="1"/>
  <c r="C126" i="6" s="1"/>
  <c r="B130" i="6"/>
  <c r="C130" i="6"/>
  <c r="B131" i="6"/>
  <c r="C131" i="6"/>
  <c r="B132" i="6"/>
  <c r="C132" i="6"/>
  <c r="F137" i="6"/>
  <c r="M137" i="6" s="1"/>
  <c r="J137" i="6"/>
  <c r="B142" i="6"/>
  <c r="D142" i="6"/>
  <c r="C142" i="6" s="1"/>
  <c r="B143" i="6"/>
  <c r="D143" i="6" s="1"/>
  <c r="C143" i="6" s="1"/>
  <c r="B144" i="6"/>
  <c r="D144" i="6"/>
  <c r="C144" i="6" s="1"/>
  <c r="B148" i="6"/>
  <c r="C148" i="6"/>
  <c r="B149" i="6"/>
  <c r="C149" i="6"/>
  <c r="B150" i="6"/>
  <c r="C150" i="6"/>
  <c r="F156" i="6"/>
  <c r="B161" i="6"/>
  <c r="C161" i="6"/>
  <c r="D161" i="6"/>
  <c r="E161" i="6"/>
  <c r="I161" i="6" s="1"/>
  <c r="B162" i="6"/>
  <c r="D162" i="6" s="1"/>
  <c r="B163" i="6"/>
  <c r="C163" i="6"/>
  <c r="D163" i="6"/>
  <c r="E163" i="6"/>
  <c r="I163" i="6" s="1"/>
  <c r="B169" i="6"/>
  <c r="H169" i="6"/>
  <c r="B170" i="6"/>
  <c r="H170" i="6"/>
  <c r="B171" i="6"/>
  <c r="H171" i="6"/>
  <c r="F181" i="6"/>
  <c r="B186" i="6"/>
  <c r="D186" i="6" s="1"/>
  <c r="C186" i="6" s="1"/>
  <c r="B187" i="6"/>
  <c r="E187" i="6" s="1"/>
  <c r="G187" i="6" s="1"/>
  <c r="D187" i="6"/>
  <c r="C187" i="6" s="1"/>
  <c r="B188" i="6"/>
  <c r="D188" i="6" s="1"/>
  <c r="B192" i="6"/>
  <c r="B193" i="6"/>
  <c r="B194" i="6"/>
  <c r="F201" i="6"/>
  <c r="B206" i="6"/>
  <c r="D206" i="6" s="1"/>
  <c r="C206" i="6" s="1"/>
  <c r="B207" i="6"/>
  <c r="D207" i="6"/>
  <c r="C207" i="6" s="1"/>
  <c r="B208" i="6"/>
  <c r="D208" i="6" s="1"/>
  <c r="C208" i="6" s="1"/>
  <c r="B212" i="6"/>
  <c r="B213" i="6"/>
  <c r="B214" i="6"/>
  <c r="E219" i="6"/>
  <c r="E223" i="6"/>
  <c r="E224" i="6"/>
  <c r="E225" i="6"/>
  <c r="E230" i="6"/>
  <c r="E231" i="6"/>
  <c r="E232" i="6"/>
  <c r="G7" i="10"/>
  <c r="G8" i="10"/>
  <c r="G9" i="10"/>
  <c r="G10" i="10"/>
  <c r="G11" i="10"/>
  <c r="G12" i="10"/>
  <c r="G13" i="10"/>
  <c r="C17" i="10"/>
  <c r="E17" i="10"/>
  <c r="C19" i="10"/>
  <c r="H21" i="10"/>
  <c r="E31" i="10"/>
  <c r="E33" i="10"/>
  <c r="F40" i="10"/>
  <c r="H40" i="10" s="1"/>
  <c r="G40" i="10"/>
  <c r="F41" i="10"/>
  <c r="G41" i="10"/>
  <c r="H41" i="10"/>
  <c r="F42" i="10"/>
  <c r="G42" i="10"/>
  <c r="H42" i="10" s="1"/>
  <c r="F43" i="10"/>
  <c r="H43" i="10" s="1"/>
  <c r="G43" i="10"/>
  <c r="F44" i="10"/>
  <c r="H44" i="10" s="1"/>
  <c r="G44" i="10"/>
  <c r="F45" i="10"/>
  <c r="G45" i="10"/>
  <c r="H45" i="10"/>
  <c r="F46" i="10"/>
  <c r="G46" i="10"/>
  <c r="H46" i="10" s="1"/>
  <c r="G55" i="10"/>
  <c r="G56" i="10"/>
  <c r="G57" i="10"/>
  <c r="G58" i="10"/>
  <c r="G59" i="10"/>
  <c r="G60" i="10"/>
  <c r="G61" i="10"/>
  <c r="E68" i="10"/>
  <c r="E70" i="10"/>
  <c r="C74" i="10"/>
  <c r="J74" i="10"/>
  <c r="C76" i="10"/>
  <c r="C77" i="10"/>
  <c r="J78" i="10" s="1"/>
  <c r="C78" i="10"/>
  <c r="D82" i="10"/>
  <c r="J83" i="10" s="1"/>
  <c r="D83" i="10"/>
  <c r="D85" i="10"/>
  <c r="D86" i="10" s="1"/>
  <c r="J87" i="10" s="1"/>
  <c r="G363" i="10" s="1"/>
  <c r="D87" i="10"/>
  <c r="D104" i="10"/>
  <c r="F104" i="10"/>
  <c r="H104" i="10" s="1"/>
  <c r="D106" i="10"/>
  <c r="F106" i="10" s="1"/>
  <c r="H106" i="10" s="1"/>
  <c r="G106" i="10"/>
  <c r="D108" i="10"/>
  <c r="F108" i="10" s="1"/>
  <c r="H108" i="10" s="1"/>
  <c r="J267" i="10"/>
  <c r="J268" i="10"/>
  <c r="J269" i="10"/>
  <c r="J270" i="10"/>
  <c r="G296" i="10"/>
  <c r="G318" i="10"/>
  <c r="I318" i="10"/>
  <c r="C324" i="10"/>
  <c r="J324" i="10"/>
  <c r="C328" i="10"/>
  <c r="J328" i="10"/>
  <c r="C332" i="10"/>
  <c r="J332" i="10"/>
  <c r="C336" i="10"/>
  <c r="J336" i="10"/>
  <c r="C340" i="10"/>
  <c r="J340" i="10"/>
  <c r="G357" i="10"/>
  <c r="E369" i="10"/>
  <c r="E371" i="10"/>
  <c r="F385" i="10" s="1"/>
  <c r="E373" i="10"/>
  <c r="H373" i="10"/>
  <c r="H377" i="10" s="1"/>
  <c r="K384" i="10"/>
  <c r="K388" i="10"/>
  <c r="K390" i="10"/>
  <c r="D408" i="10"/>
  <c r="D410" i="10"/>
  <c r="G417" i="10"/>
  <c r="J419" i="10"/>
  <c r="J421" i="10"/>
  <c r="D6" i="11"/>
  <c r="E6" i="11"/>
  <c r="F6" i="11"/>
  <c r="G6" i="11" s="1"/>
  <c r="D7" i="11"/>
  <c r="E7" i="11"/>
  <c r="F7" i="11"/>
  <c r="G7" i="11" s="1"/>
  <c r="D8" i="11"/>
  <c r="E8" i="11"/>
  <c r="F8" i="11"/>
  <c r="G8" i="11" s="1"/>
  <c r="D9" i="11"/>
  <c r="E9" i="11"/>
  <c r="F9" i="11"/>
  <c r="G9" i="11" s="1"/>
  <c r="D10" i="11"/>
  <c r="E10" i="11"/>
  <c r="F10" i="11"/>
  <c r="G10" i="11" s="1"/>
  <c r="D11" i="11"/>
  <c r="E11" i="11"/>
  <c r="F11" i="11"/>
  <c r="G11" i="11" s="1"/>
  <c r="D12" i="11"/>
  <c r="E12" i="11"/>
  <c r="F12" i="11"/>
  <c r="G12" i="11" s="1"/>
  <c r="D13" i="11"/>
  <c r="E13" i="11"/>
  <c r="F13" i="11"/>
  <c r="G13" i="11" s="1"/>
  <c r="D14" i="11"/>
  <c r="E14" i="11"/>
  <c r="F14" i="11"/>
  <c r="G14" i="11" s="1"/>
  <c r="D15" i="11"/>
  <c r="E15" i="11"/>
  <c r="F15" i="11"/>
  <c r="G15" i="11" s="1"/>
  <c r="D16" i="11"/>
  <c r="E16" i="11"/>
  <c r="F16" i="11"/>
  <c r="G16" i="11" s="1"/>
  <c r="D17" i="11"/>
  <c r="E17" i="11"/>
  <c r="F17" i="11"/>
  <c r="G17" i="11" s="1"/>
  <c r="F5" i="7"/>
  <c r="G5" i="7" s="1"/>
  <c r="F6" i="7"/>
  <c r="G6" i="7" s="1"/>
  <c r="F7" i="7"/>
  <c r="G7" i="7" s="1"/>
  <c r="F8" i="7"/>
  <c r="G8" i="7" s="1"/>
  <c r="F9" i="7"/>
  <c r="G9" i="7"/>
  <c r="F10" i="7"/>
  <c r="G10" i="7" s="1"/>
  <c r="F11" i="7"/>
  <c r="G11" i="7"/>
  <c r="F12" i="7"/>
  <c r="G12" i="7" s="1"/>
  <c r="F13" i="7"/>
  <c r="G13" i="7" s="1"/>
  <c r="F14" i="7"/>
  <c r="G14" i="7" s="1"/>
  <c r="F15" i="7"/>
  <c r="G15" i="7" s="1"/>
  <c r="F20" i="7"/>
  <c r="G20" i="7" s="1"/>
  <c r="F21" i="7"/>
  <c r="G21" i="7" s="1"/>
  <c r="F22" i="7"/>
  <c r="G22" i="7"/>
  <c r="F23" i="7"/>
  <c r="G23" i="7" s="1"/>
  <c r="F24" i="7"/>
  <c r="G24" i="7"/>
  <c r="F25" i="7"/>
  <c r="G25" i="7" s="1"/>
  <c r="F26" i="7"/>
  <c r="G26" i="7"/>
  <c r="F27" i="7"/>
  <c r="G27" i="7" s="1"/>
  <c r="F28" i="7"/>
  <c r="G28" i="7"/>
  <c r="F29" i="7"/>
  <c r="G29" i="7" s="1"/>
  <c r="F30" i="7"/>
  <c r="G30" i="7"/>
  <c r="F35" i="7"/>
  <c r="G35" i="7" s="1"/>
  <c r="F36" i="7"/>
  <c r="G36" i="7"/>
  <c r="F37" i="7"/>
  <c r="G37" i="7" s="1"/>
  <c r="F38" i="7"/>
  <c r="G38" i="7"/>
  <c r="F39" i="7"/>
  <c r="G39" i="7" s="1"/>
  <c r="F40" i="7"/>
  <c r="G40" i="7"/>
  <c r="F41" i="7"/>
  <c r="G41" i="7" s="1"/>
  <c r="F42" i="7"/>
  <c r="G42" i="7"/>
  <c r="F43" i="7"/>
  <c r="G43" i="7" s="1"/>
  <c r="F44" i="7"/>
  <c r="G44" i="7"/>
  <c r="F45" i="7"/>
  <c r="G45" i="7" s="1"/>
  <c r="F50" i="7"/>
  <c r="G50" i="7"/>
  <c r="F51" i="7"/>
  <c r="G51" i="7" s="1"/>
  <c r="F52" i="7"/>
  <c r="G52" i="7"/>
  <c r="F53" i="7"/>
  <c r="G53" i="7" s="1"/>
  <c r="G61" i="7" s="1"/>
  <c r="F54" i="7"/>
  <c r="G54" i="7" s="1"/>
  <c r="F55" i="7"/>
  <c r="G55" i="7" s="1"/>
  <c r="F56" i="7"/>
  <c r="G56" i="7" s="1"/>
  <c r="F57" i="7"/>
  <c r="G57" i="7" s="1"/>
  <c r="F58" i="7"/>
  <c r="G58" i="7"/>
  <c r="F59" i="7"/>
  <c r="G59" i="7" s="1"/>
  <c r="F60" i="7"/>
  <c r="G60" i="7"/>
  <c r="F66" i="7"/>
  <c r="G66" i="7" s="1"/>
  <c r="F67" i="7"/>
  <c r="G67" i="7" s="1"/>
  <c r="F68" i="7"/>
  <c r="G68" i="7" s="1"/>
  <c r="F69" i="7"/>
  <c r="G69" i="7" s="1"/>
  <c r="F70" i="7"/>
  <c r="G70" i="7" s="1"/>
  <c r="F71" i="7"/>
  <c r="G71" i="7"/>
  <c r="F72" i="7"/>
  <c r="G72" i="7" s="1"/>
  <c r="F73" i="7"/>
  <c r="G73" i="7"/>
  <c r="F74" i="7"/>
  <c r="G74" i="7" s="1"/>
  <c r="F75" i="7"/>
  <c r="G75" i="7" s="1"/>
  <c r="F76" i="7"/>
  <c r="G76" i="7" s="1"/>
  <c r="F82" i="7"/>
  <c r="G82" i="7" s="1"/>
  <c r="F83" i="7"/>
  <c r="G83" i="7"/>
  <c r="F84" i="7"/>
  <c r="G84" i="7" s="1"/>
  <c r="F85" i="7"/>
  <c r="G85" i="7"/>
  <c r="F86" i="7"/>
  <c r="G86" i="7" s="1"/>
  <c r="F87" i="7"/>
  <c r="G87" i="7"/>
  <c r="F88" i="7"/>
  <c r="G88" i="7" s="1"/>
  <c r="F89" i="7"/>
  <c r="G89" i="7"/>
  <c r="F90" i="7"/>
  <c r="G90" i="7" s="1"/>
  <c r="F91" i="7"/>
  <c r="G91" i="7"/>
  <c r="F92" i="7"/>
  <c r="G92" i="7" s="1"/>
  <c r="F93" i="7"/>
  <c r="G93" i="7"/>
  <c r="F94" i="7"/>
  <c r="G94" i="7" s="1"/>
  <c r="F95" i="7"/>
  <c r="G95" i="7"/>
  <c r="F101" i="7"/>
  <c r="G101" i="7" s="1"/>
  <c r="F102" i="7"/>
  <c r="G102" i="7"/>
  <c r="F103" i="7"/>
  <c r="G103" i="7" s="1"/>
  <c r="F104" i="7"/>
  <c r="G104" i="7"/>
  <c r="F105" i="7"/>
  <c r="G105" i="7" s="1"/>
  <c r="F106" i="7"/>
  <c r="G106" i="7"/>
  <c r="F107" i="7"/>
  <c r="G107" i="7" s="1"/>
  <c r="F108" i="7"/>
  <c r="G108" i="7"/>
  <c r="F109" i="7"/>
  <c r="G109" i="7" s="1"/>
  <c r="F110" i="7"/>
  <c r="G110" i="7"/>
  <c r="F111" i="7"/>
  <c r="G111" i="7" s="1"/>
  <c r="F112" i="7"/>
  <c r="G112" i="7"/>
  <c r="F113" i="7"/>
  <c r="G113" i="7" s="1"/>
  <c r="F114" i="7"/>
  <c r="G114" i="7"/>
  <c r="F115" i="7"/>
  <c r="G115" i="7" s="1"/>
  <c r="F121" i="7"/>
  <c r="G121" i="7"/>
  <c r="F122" i="7"/>
  <c r="G122" i="7" s="1"/>
  <c r="F123" i="7"/>
  <c r="G123" i="7"/>
  <c r="F124" i="7"/>
  <c r="G124" i="7" s="1"/>
  <c r="F125" i="7"/>
  <c r="G125" i="7"/>
  <c r="F126" i="7"/>
  <c r="G126" i="7" s="1"/>
  <c r="F127" i="7"/>
  <c r="G127" i="7" s="1"/>
  <c r="F128" i="7"/>
  <c r="G128" i="7" s="1"/>
  <c r="F129" i="7"/>
  <c r="G129" i="7" s="1"/>
  <c r="F130" i="7"/>
  <c r="G130" i="7" s="1"/>
  <c r="F131" i="7"/>
  <c r="G131" i="7"/>
  <c r="F132" i="7"/>
  <c r="G132" i="7" s="1"/>
  <c r="F133" i="7"/>
  <c r="G133" i="7"/>
  <c r="F134" i="7"/>
  <c r="G134" i="7" s="1"/>
  <c r="F135" i="7"/>
  <c r="G135" i="7" s="1"/>
  <c r="F141" i="7"/>
  <c r="G141" i="7" s="1"/>
  <c r="F142" i="7"/>
  <c r="G142" i="7" s="1"/>
  <c r="F143" i="7"/>
  <c r="G143" i="7" s="1"/>
  <c r="F144" i="7"/>
  <c r="G144" i="7"/>
  <c r="F145" i="7"/>
  <c r="G145" i="7" s="1"/>
  <c r="F146" i="7"/>
  <c r="G146" i="7"/>
  <c r="F147" i="7"/>
  <c r="G147" i="7" s="1"/>
  <c r="F148" i="7"/>
  <c r="G148" i="7" s="1"/>
  <c r="F149" i="7"/>
  <c r="G149" i="7" s="1"/>
  <c r="F150" i="7"/>
  <c r="G150" i="7" s="1"/>
  <c r="F151" i="7"/>
  <c r="G151" i="7" s="1"/>
  <c r="F152" i="7"/>
  <c r="G152" i="7"/>
  <c r="F153" i="7"/>
  <c r="G153" i="7" s="1"/>
  <c r="F154" i="7"/>
  <c r="G154" i="7"/>
  <c r="F155" i="7"/>
  <c r="G155" i="7" s="1"/>
  <c r="F161" i="7"/>
  <c r="G161" i="7" s="1"/>
  <c r="G179" i="7" s="1"/>
  <c r="K31" i="6" s="1"/>
  <c r="F162" i="7"/>
  <c r="G162" i="7" s="1"/>
  <c r="F163" i="7"/>
  <c r="G163" i="7" s="1"/>
  <c r="F164" i="7"/>
  <c r="G164" i="7"/>
  <c r="F165" i="7"/>
  <c r="G165" i="7" s="1"/>
  <c r="F166" i="7"/>
  <c r="G166" i="7"/>
  <c r="F167" i="7"/>
  <c r="G167" i="7" s="1"/>
  <c r="F168" i="7"/>
  <c r="G168" i="7" s="1"/>
  <c r="F169" i="7"/>
  <c r="G169" i="7" s="1"/>
  <c r="F170" i="7"/>
  <c r="G170" i="7" s="1"/>
  <c r="F171" i="7"/>
  <c r="G171" i="7" s="1"/>
  <c r="F172" i="7"/>
  <c r="G172" i="7"/>
  <c r="F173" i="7"/>
  <c r="G173" i="7" s="1"/>
  <c r="F174" i="7"/>
  <c r="G174" i="7"/>
  <c r="F175" i="7"/>
  <c r="G175" i="7" s="1"/>
  <c r="F176" i="7"/>
  <c r="G176" i="7" s="1"/>
  <c r="F177" i="7"/>
  <c r="G177" i="7" s="1"/>
  <c r="F178" i="7"/>
  <c r="G178" i="7" s="1"/>
  <c r="F184" i="7"/>
  <c r="G184" i="7" s="1"/>
  <c r="F185" i="7"/>
  <c r="G185" i="7"/>
  <c r="F186" i="7"/>
  <c r="G186" i="7" s="1"/>
  <c r="F187" i="7"/>
  <c r="G187" i="7"/>
  <c r="F188" i="7"/>
  <c r="G188" i="7" s="1"/>
  <c r="F189" i="7"/>
  <c r="G189" i="7" s="1"/>
  <c r="F190" i="7"/>
  <c r="G190" i="7" s="1"/>
  <c r="F191" i="7"/>
  <c r="G191" i="7" s="1"/>
  <c r="F192" i="7"/>
  <c r="G192" i="7" s="1"/>
  <c r="F193" i="7"/>
  <c r="G193" i="7"/>
  <c r="F194" i="7"/>
  <c r="G194" i="7" s="1"/>
  <c r="F195" i="7"/>
  <c r="G195" i="7"/>
  <c r="F196" i="7"/>
  <c r="G196" i="7" s="1"/>
  <c r="F197" i="7"/>
  <c r="G197" i="7" s="1"/>
  <c r="F198" i="7"/>
  <c r="G198" i="7" s="1"/>
  <c r="F204" i="7"/>
  <c r="G204" i="7" s="1"/>
  <c r="F205" i="7"/>
  <c r="G205" i="7"/>
  <c r="F206" i="7"/>
  <c r="G206" i="7" s="1"/>
  <c r="F207" i="7"/>
  <c r="G207" i="7"/>
  <c r="F208" i="7"/>
  <c r="G208" i="7" s="1"/>
  <c r="F209" i="7"/>
  <c r="G209" i="7" s="1"/>
  <c r="F210" i="7"/>
  <c r="G210" i="7" s="1"/>
  <c r="F211" i="7"/>
  <c r="G211" i="7" s="1"/>
  <c r="F212" i="7"/>
  <c r="G212" i="7" s="1"/>
  <c r="F213" i="7"/>
  <c r="G213" i="7"/>
  <c r="F214" i="7"/>
  <c r="G214" i="7" s="1"/>
  <c r="F215" i="7"/>
  <c r="G215" i="7"/>
  <c r="F216" i="7"/>
  <c r="G216" i="7" s="1"/>
  <c r="F217" i="7"/>
  <c r="G217" i="7" s="1"/>
  <c r="F218" i="7"/>
  <c r="G218" i="7" s="1"/>
  <c r="F224" i="7"/>
  <c r="G224" i="7" s="1"/>
  <c r="F225" i="7"/>
  <c r="G225" i="7" s="1"/>
  <c r="F226" i="7"/>
  <c r="G226" i="7"/>
  <c r="F227" i="7"/>
  <c r="G227" i="7" s="1"/>
  <c r="F228" i="7"/>
  <c r="G228" i="7"/>
  <c r="F229" i="7"/>
  <c r="G229" i="7" s="1"/>
  <c r="F230" i="7"/>
  <c r="G230" i="7" s="1"/>
  <c r="F231" i="7"/>
  <c r="G231" i="7" s="1"/>
  <c r="F232" i="7"/>
  <c r="G232" i="7" s="1"/>
  <c r="F233" i="7"/>
  <c r="G233" i="7" s="1"/>
  <c r="F234" i="7"/>
  <c r="G234" i="7"/>
  <c r="F235" i="7"/>
  <c r="G235" i="7" s="1"/>
  <c r="F236" i="7"/>
  <c r="G236" i="7"/>
  <c r="F237" i="7"/>
  <c r="G237" i="7" s="1"/>
  <c r="F238" i="7"/>
  <c r="G238" i="7" s="1"/>
  <c r="F244" i="7"/>
  <c r="G244" i="7" s="1"/>
  <c r="F245" i="7"/>
  <c r="G245" i="7" s="1"/>
  <c r="F246" i="7"/>
  <c r="G246" i="7" s="1"/>
  <c r="F247" i="7"/>
  <c r="G247" i="7"/>
  <c r="F248" i="7"/>
  <c r="G248" i="7" s="1"/>
  <c r="F249" i="7"/>
  <c r="G249" i="7"/>
  <c r="F250" i="7"/>
  <c r="G250" i="7" s="1"/>
  <c r="F251" i="7"/>
  <c r="G251" i="7" s="1"/>
  <c r="F252" i="7"/>
  <c r="G252" i="7" s="1"/>
  <c r="F253" i="7"/>
  <c r="G253" i="7" s="1"/>
  <c r="F254" i="7"/>
  <c r="G254" i="7" s="1"/>
  <c r="F255" i="7"/>
  <c r="G255" i="7"/>
  <c r="F256" i="7"/>
  <c r="G256" i="7" s="1"/>
  <c r="F257" i="7"/>
  <c r="G257" i="7"/>
  <c r="F258" i="7"/>
  <c r="G258" i="7" s="1"/>
  <c r="AI41" i="8"/>
  <c r="AI42" i="8"/>
  <c r="AI43" i="8"/>
  <c r="AJ43" i="8" s="1"/>
  <c r="AI84" i="8"/>
  <c r="AI85" i="8"/>
  <c r="AI86" i="8"/>
  <c r="AJ86" i="8" s="1"/>
  <c r="C94" i="8"/>
  <c r="D94" i="8"/>
  <c r="E94" i="8" s="1"/>
  <c r="F94" i="8" s="1"/>
  <c r="G94" i="8" s="1"/>
  <c r="H94" i="8" s="1"/>
  <c r="I94" i="8" s="1"/>
  <c r="C95" i="8" s="1"/>
  <c r="D95" i="8" s="1"/>
  <c r="E95" i="8" s="1"/>
  <c r="F95" i="8" s="1"/>
  <c r="G95" i="8" s="1"/>
  <c r="H95" i="8" s="1"/>
  <c r="I95" i="8" s="1"/>
  <c r="C96" i="8" s="1"/>
  <c r="D96" i="8" s="1"/>
  <c r="E96" i="8" s="1"/>
  <c r="F96" i="8" s="1"/>
  <c r="G96" i="8" s="1"/>
  <c r="H96" i="8" s="1"/>
  <c r="I96" i="8" s="1"/>
  <c r="C97" i="8" s="1"/>
  <c r="D97" i="8" s="1"/>
  <c r="E97" i="8" s="1"/>
  <c r="F97" i="8" s="1"/>
  <c r="G97" i="8" s="1"/>
  <c r="H97" i="8" s="1"/>
  <c r="I97" i="8" s="1"/>
  <c r="O94" i="8"/>
  <c r="P94" i="8" s="1"/>
  <c r="Q94" i="8" s="1"/>
  <c r="R94" i="8" s="1"/>
  <c r="S94" i="8"/>
  <c r="T94" i="8" s="1"/>
  <c r="U94" i="8" s="1"/>
  <c r="O95" i="8" s="1"/>
  <c r="P95" i="8" s="1"/>
  <c r="Q95" i="8" s="1"/>
  <c r="R95" i="8" s="1"/>
  <c r="S95" i="8" s="1"/>
  <c r="T95" i="8" s="1"/>
  <c r="U95" i="8" s="1"/>
  <c r="O96" i="8" s="1"/>
  <c r="P96" i="8" s="1"/>
  <c r="Q96" i="8" s="1"/>
  <c r="R96" i="8" s="1"/>
  <c r="S96" i="8" s="1"/>
  <c r="T96" i="8" s="1"/>
  <c r="U96" i="8" s="1"/>
  <c r="AA94" i="8"/>
  <c r="AB94" i="8" s="1"/>
  <c r="AC94" i="8" s="1"/>
  <c r="AD94" i="8" s="1"/>
  <c r="AE94" i="8" s="1"/>
  <c r="AF94" i="8" s="1"/>
  <c r="AG94" i="8" s="1"/>
  <c r="AA95" i="8" s="1"/>
  <c r="AB95" i="8" s="1"/>
  <c r="AC95" i="8" s="1"/>
  <c r="AD95" i="8" s="1"/>
  <c r="AE95" i="8" s="1"/>
  <c r="AF95" i="8" s="1"/>
  <c r="AG95" i="8" s="1"/>
  <c r="AA96" i="8" s="1"/>
  <c r="AB96" i="8" s="1"/>
  <c r="AC96" i="8" s="1"/>
  <c r="AD96" i="8" s="1"/>
  <c r="AE96" i="8" s="1"/>
  <c r="AF96" i="8" s="1"/>
  <c r="AG96" i="8" s="1"/>
  <c r="AA97" i="8" s="1"/>
  <c r="AB97" i="8" s="1"/>
  <c r="AC97" i="8" s="1"/>
  <c r="C103" i="8"/>
  <c r="D103" i="8" s="1"/>
  <c r="E103" i="8" s="1"/>
  <c r="F103" i="8" s="1"/>
  <c r="G103" i="8" s="1"/>
  <c r="H103" i="8" s="1"/>
  <c r="I103" i="8" s="1"/>
  <c r="C104" i="8" s="1"/>
  <c r="D104" i="8" s="1"/>
  <c r="E104" i="8" s="1"/>
  <c r="F104" i="8" s="1"/>
  <c r="G104" i="8" s="1"/>
  <c r="H104" i="8" s="1"/>
  <c r="I104" i="8" s="1"/>
  <c r="C105" i="8" s="1"/>
  <c r="D105" i="8" s="1"/>
  <c r="E105" i="8" s="1"/>
  <c r="F105" i="8" s="1"/>
  <c r="G105" i="8" s="1"/>
  <c r="H105" i="8" s="1"/>
  <c r="I105" i="8" s="1"/>
  <c r="C106" i="8" s="1"/>
  <c r="D106" i="8" s="1"/>
  <c r="E106" i="8" s="1"/>
  <c r="F106" i="8" s="1"/>
  <c r="G106" i="8" s="1"/>
  <c r="O103" i="8"/>
  <c r="P103" i="8"/>
  <c r="Q103" i="8" s="1"/>
  <c r="R103" i="8" s="1"/>
  <c r="S103" i="8" s="1"/>
  <c r="T103" i="8" s="1"/>
  <c r="U103" i="8" s="1"/>
  <c r="O104" i="8" s="1"/>
  <c r="P104" i="8" s="1"/>
  <c r="Q104" i="8" s="1"/>
  <c r="R104" i="8" s="1"/>
  <c r="S104" i="8" s="1"/>
  <c r="T104" i="8" s="1"/>
  <c r="U104" i="8" s="1"/>
  <c r="O105" i="8" s="1"/>
  <c r="P105" i="8" s="1"/>
  <c r="Q105" i="8" s="1"/>
  <c r="R105" i="8" s="1"/>
  <c r="S105" i="8" s="1"/>
  <c r="T105" i="8" s="1"/>
  <c r="U105" i="8" s="1"/>
  <c r="O106" i="8" s="1"/>
  <c r="P106" i="8" s="1"/>
  <c r="Q106" i="8" s="1"/>
  <c r="R106" i="8" s="1"/>
  <c r="S106" i="8" s="1"/>
  <c r="T106" i="8" s="1"/>
  <c r="U106" i="8" s="1"/>
  <c r="AA103" i="8"/>
  <c r="AB103" i="8"/>
  <c r="AC103" i="8" s="1"/>
  <c r="AD103" i="8" s="1"/>
  <c r="AE103" i="8" s="1"/>
  <c r="AF103" i="8" s="1"/>
  <c r="AG103" i="8" s="1"/>
  <c r="AA104" i="8" s="1"/>
  <c r="AB104" i="8" s="1"/>
  <c r="AC104" i="8" s="1"/>
  <c r="AD104" i="8" s="1"/>
  <c r="AE104" i="8" s="1"/>
  <c r="AF104" i="8" s="1"/>
  <c r="AG104" i="8" s="1"/>
  <c r="AA105" i="8" s="1"/>
  <c r="AB105" i="8" s="1"/>
  <c r="AC105" i="8" s="1"/>
  <c r="AD105" i="8" s="1"/>
  <c r="AE105" i="8" s="1"/>
  <c r="AF105" i="8" s="1"/>
  <c r="AG105" i="8" s="1"/>
  <c r="AA106" i="8" s="1"/>
  <c r="AB106" i="8" s="1"/>
  <c r="AC106" i="8" s="1"/>
  <c r="C112" i="8"/>
  <c r="D112" i="8"/>
  <c r="E112" i="8" s="1"/>
  <c r="F112" i="8" s="1"/>
  <c r="G112" i="8" s="1"/>
  <c r="H112" i="8"/>
  <c r="I112" i="8" s="1"/>
  <c r="C113" i="8" s="1"/>
  <c r="D113" i="8" s="1"/>
  <c r="E113" i="8" s="1"/>
  <c r="F113" i="8" s="1"/>
  <c r="G113" i="8" s="1"/>
  <c r="H113" i="8" s="1"/>
  <c r="I113" i="8" s="1"/>
  <c r="C114" i="8" s="1"/>
  <c r="D114" i="8" s="1"/>
  <c r="E114" i="8" s="1"/>
  <c r="F114" i="8" s="1"/>
  <c r="G114" i="8" s="1"/>
  <c r="H114" i="8" s="1"/>
  <c r="I114" i="8" s="1"/>
  <c r="C115" i="8" s="1"/>
  <c r="D115" i="8" s="1"/>
  <c r="E115" i="8" s="1"/>
  <c r="F115" i="8" s="1"/>
  <c r="G115" i="8" s="1"/>
  <c r="H115" i="8" s="1"/>
  <c r="O112" i="8"/>
  <c r="P112" i="8"/>
  <c r="Q112" i="8"/>
  <c r="R112" i="8" s="1"/>
  <c r="S112" i="8" s="1"/>
  <c r="T112" i="8" s="1"/>
  <c r="U112" i="8" s="1"/>
  <c r="O113" i="8" s="1"/>
  <c r="P113" i="8" s="1"/>
  <c r="Q113" i="8" s="1"/>
  <c r="R113" i="8" s="1"/>
  <c r="S113" i="8" s="1"/>
  <c r="T113" i="8" s="1"/>
  <c r="U113" i="8" s="1"/>
  <c r="O114" i="8" s="1"/>
  <c r="P114" i="8" s="1"/>
  <c r="Q114" i="8" s="1"/>
  <c r="R114" i="8" s="1"/>
  <c r="S114" i="8" s="1"/>
  <c r="T114" i="8" s="1"/>
  <c r="U114" i="8" s="1"/>
  <c r="O115" i="8" s="1"/>
  <c r="P115" i="8" s="1"/>
  <c r="Q115" i="8" s="1"/>
  <c r="R115" i="8" s="1"/>
  <c r="S115" i="8" s="1"/>
  <c r="T115" i="8" s="1"/>
  <c r="U115" i="8" s="1"/>
  <c r="O116" i="8" s="1"/>
  <c r="P116" i="8" s="1"/>
  <c r="AA112" i="8"/>
  <c r="AB112" i="8" s="1"/>
  <c r="AC112" i="8" s="1"/>
  <c r="AD112" i="8" s="1"/>
  <c r="AE112" i="8"/>
  <c r="AF112" i="8" s="1"/>
  <c r="AG112" i="8" s="1"/>
  <c r="AA113" i="8" s="1"/>
  <c r="AB113" i="8" s="1"/>
  <c r="AC113" i="8" s="1"/>
  <c r="AD113" i="8" s="1"/>
  <c r="AE113" i="8" s="1"/>
  <c r="AF113" i="8" s="1"/>
  <c r="AG113" i="8" s="1"/>
  <c r="AA114" i="8" s="1"/>
  <c r="AB114" i="8" s="1"/>
  <c r="AC114" i="8" s="1"/>
  <c r="AD114" i="8" s="1"/>
  <c r="AE114" i="8" s="1"/>
  <c r="AF114" i="8" s="1"/>
  <c r="AG114" i="8" s="1"/>
  <c r="AA115" i="8" s="1"/>
  <c r="AB115" i="8" s="1"/>
  <c r="AC115" i="8" s="1"/>
  <c r="AD115" i="8" s="1"/>
  <c r="C121" i="8"/>
  <c r="D121" i="8" s="1"/>
  <c r="E121" i="8" s="1"/>
  <c r="F121" i="8"/>
  <c r="G121" i="8" s="1"/>
  <c r="H121" i="8" s="1"/>
  <c r="I121" i="8" s="1"/>
  <c r="C122" i="8"/>
  <c r="D122" i="8" s="1"/>
  <c r="E122" i="8" s="1"/>
  <c r="F122" i="8" s="1"/>
  <c r="G122" i="8" s="1"/>
  <c r="H122" i="8" s="1"/>
  <c r="I122" i="8" s="1"/>
  <c r="C123" i="8" s="1"/>
  <c r="D123" i="8" s="1"/>
  <c r="E123" i="8" s="1"/>
  <c r="F123" i="8" s="1"/>
  <c r="G123" i="8" s="1"/>
  <c r="H123" i="8" s="1"/>
  <c r="I123" i="8" s="1"/>
  <c r="C124" i="8" s="1"/>
  <c r="D124" i="8" s="1"/>
  <c r="E124" i="8" s="1"/>
  <c r="F124" i="8" s="1"/>
  <c r="G124" i="8" s="1"/>
  <c r="H124" i="8" s="1"/>
  <c r="I124" i="8" s="1"/>
  <c r="O121" i="8"/>
  <c r="P121" i="8" s="1"/>
  <c r="Q121" i="8" s="1"/>
  <c r="R121" i="8"/>
  <c r="S121" i="8" s="1"/>
  <c r="T121" i="8" s="1"/>
  <c r="U121" i="8" s="1"/>
  <c r="O122" i="8"/>
  <c r="P122" i="8" s="1"/>
  <c r="Q122" i="8" s="1"/>
  <c r="R122" i="8" s="1"/>
  <c r="S122" i="8" s="1"/>
  <c r="T122" i="8" s="1"/>
  <c r="U122" i="8" s="1"/>
  <c r="O123" i="8" s="1"/>
  <c r="P123" i="8" s="1"/>
  <c r="Q123" i="8" s="1"/>
  <c r="R123" i="8" s="1"/>
  <c r="S123" i="8" s="1"/>
  <c r="T123" i="8" s="1"/>
  <c r="U123" i="8" s="1"/>
  <c r="O124" i="8" s="1"/>
  <c r="P124" i="8" s="1"/>
  <c r="AA121" i="8"/>
  <c r="AB121" i="8" s="1"/>
  <c r="AC121" i="8" s="1"/>
  <c r="AD121" i="8" s="1"/>
  <c r="AE121" i="8" s="1"/>
  <c r="AF121" i="8" s="1"/>
  <c r="AG121" i="8" s="1"/>
  <c r="AA122" i="8" s="1"/>
  <c r="AB122" i="8" s="1"/>
  <c r="AC122" i="8" s="1"/>
  <c r="AD122" i="8" s="1"/>
  <c r="AE122" i="8" s="1"/>
  <c r="AF122" i="8" s="1"/>
  <c r="AG122" i="8" s="1"/>
  <c r="AA123" i="8" s="1"/>
  <c r="AB123" i="8" s="1"/>
  <c r="AC123" i="8" s="1"/>
  <c r="AD123" i="8" s="1"/>
  <c r="AE123" i="8" s="1"/>
  <c r="AF123" i="8" s="1"/>
  <c r="AG123" i="8" s="1"/>
  <c r="AA124" i="8" s="1"/>
  <c r="AB124" i="8" s="1"/>
  <c r="AC124" i="8" s="1"/>
  <c r="AD124" i="8" s="1"/>
  <c r="AE124" i="8" s="1"/>
  <c r="AI127" i="8"/>
  <c r="AI128" i="8"/>
  <c r="AI129" i="8"/>
  <c r="AJ129" i="8" s="1"/>
  <c r="I136" i="8"/>
  <c r="C137" i="8"/>
  <c r="Q136" i="8"/>
  <c r="R136" i="8" s="1"/>
  <c r="S136" i="8" s="1"/>
  <c r="T136" i="8" s="1"/>
  <c r="U136" i="8" s="1"/>
  <c r="O137" i="8" s="1"/>
  <c r="P137" i="8" s="1"/>
  <c r="Q137" i="8" s="1"/>
  <c r="R137" i="8" s="1"/>
  <c r="S137" i="8" s="1"/>
  <c r="T137" i="8" s="1"/>
  <c r="U137" i="8" s="1"/>
  <c r="O138" i="8" s="1"/>
  <c r="P138" i="8" s="1"/>
  <c r="Q138" i="8" s="1"/>
  <c r="R138" i="8" s="1"/>
  <c r="S138" i="8" s="1"/>
  <c r="T138" i="8" s="1"/>
  <c r="U138" i="8" s="1"/>
  <c r="O139" i="8" s="1"/>
  <c r="P139" i="8" s="1"/>
  <c r="Q139" i="8" s="1"/>
  <c r="R139" i="8" s="1"/>
  <c r="S139" i="8" s="1"/>
  <c r="T139" i="8" s="1"/>
  <c r="U139" i="8" s="1"/>
  <c r="AC136" i="8"/>
  <c r="AD136" i="8"/>
  <c r="AE136" i="8"/>
  <c r="AF136" i="8" s="1"/>
  <c r="AG136" i="8" s="1"/>
  <c r="AA137" i="8" s="1"/>
  <c r="AB137" i="8" s="1"/>
  <c r="AC137" i="8" s="1"/>
  <c r="AD137" i="8" s="1"/>
  <c r="AE137" i="8" s="1"/>
  <c r="AF137" i="8" s="1"/>
  <c r="AG137" i="8" s="1"/>
  <c r="AA138" i="8" s="1"/>
  <c r="AB138" i="8" s="1"/>
  <c r="AC138" i="8" s="1"/>
  <c r="AD138" i="8" s="1"/>
  <c r="AE138" i="8" s="1"/>
  <c r="AF138" i="8" s="1"/>
  <c r="AG138" i="8" s="1"/>
  <c r="AA139" i="8" s="1"/>
  <c r="AB139" i="8" s="1"/>
  <c r="AC139" i="8" s="1"/>
  <c r="AD139" i="8" s="1"/>
  <c r="AE139" i="8" s="1"/>
  <c r="AF139" i="8" s="1"/>
  <c r="AG139" i="8" s="1"/>
  <c r="AA140" i="8" s="1"/>
  <c r="AB140" i="8" s="1"/>
  <c r="AC140" i="8" s="1"/>
  <c r="D137" i="8"/>
  <c r="E137" i="8" s="1"/>
  <c r="F137" i="8" s="1"/>
  <c r="G137" i="8" s="1"/>
  <c r="H137" i="8" s="1"/>
  <c r="I137" i="8" s="1"/>
  <c r="C138" i="8" s="1"/>
  <c r="D138" i="8" s="1"/>
  <c r="E138" i="8" s="1"/>
  <c r="F138" i="8" s="1"/>
  <c r="G138" i="8" s="1"/>
  <c r="H138" i="8" s="1"/>
  <c r="I138" i="8" s="1"/>
  <c r="C139" i="8" s="1"/>
  <c r="D139" i="8" s="1"/>
  <c r="E139" i="8" s="1"/>
  <c r="F139" i="8" s="1"/>
  <c r="G139" i="8" s="1"/>
  <c r="H139" i="8" s="1"/>
  <c r="I139" i="8" s="1"/>
  <c r="C140" i="8" s="1"/>
  <c r="D140" i="8" s="1"/>
  <c r="E140" i="8" s="1"/>
  <c r="F140" i="8" s="1"/>
  <c r="G140" i="8" s="1"/>
  <c r="H140" i="8" s="1"/>
  <c r="I140" i="8" s="1"/>
  <c r="I145" i="8"/>
  <c r="AC145" i="8"/>
  <c r="AD145" i="8" s="1"/>
  <c r="AE145" i="8" s="1"/>
  <c r="AF145" i="8" s="1"/>
  <c r="AG145" i="8" s="1"/>
  <c r="AA146" i="8" s="1"/>
  <c r="AB146" i="8" s="1"/>
  <c r="AC146" i="8" s="1"/>
  <c r="AD146" i="8" s="1"/>
  <c r="AE146" i="8" s="1"/>
  <c r="AF146" i="8" s="1"/>
  <c r="AG146" i="8" s="1"/>
  <c r="AA147" i="8" s="1"/>
  <c r="AB147" i="8" s="1"/>
  <c r="AC147" i="8" s="1"/>
  <c r="AD147" i="8" s="1"/>
  <c r="AE147" i="8" s="1"/>
  <c r="AF147" i="8" s="1"/>
  <c r="AG147" i="8" s="1"/>
  <c r="AA148" i="8" s="1"/>
  <c r="AB148" i="8" s="1"/>
  <c r="AC148" i="8" s="1"/>
  <c r="AD148" i="8" s="1"/>
  <c r="AE148" i="8" s="1"/>
  <c r="AF148" i="8" s="1"/>
  <c r="AG148" i="8" s="1"/>
  <c r="AA149" i="8" s="1"/>
  <c r="AB149" i="8" s="1"/>
  <c r="AC149" i="8" s="1"/>
  <c r="AD149" i="8" s="1"/>
  <c r="C146" i="8"/>
  <c r="D146" i="8" s="1"/>
  <c r="E146" i="8" s="1"/>
  <c r="F146" i="8" s="1"/>
  <c r="G146" i="8" s="1"/>
  <c r="H146" i="8" s="1"/>
  <c r="I146" i="8" s="1"/>
  <c r="C147" i="8" s="1"/>
  <c r="D147" i="8" s="1"/>
  <c r="E147" i="8" s="1"/>
  <c r="F147" i="8" s="1"/>
  <c r="G147" i="8" s="1"/>
  <c r="H147" i="8" s="1"/>
  <c r="I147" i="8" s="1"/>
  <c r="C148" i="8" s="1"/>
  <c r="D148" i="8" s="1"/>
  <c r="E148" i="8" s="1"/>
  <c r="F148" i="8" s="1"/>
  <c r="G148" i="8" s="1"/>
  <c r="H148" i="8" s="1"/>
  <c r="I148" i="8" s="1"/>
  <c r="C149" i="8" s="1"/>
  <c r="D149" i="8" s="1"/>
  <c r="E149" i="8" s="1"/>
  <c r="F149" i="8" s="1"/>
  <c r="G149" i="8" s="1"/>
  <c r="H149" i="8" s="1"/>
  <c r="O146" i="8"/>
  <c r="P146" i="8"/>
  <c r="Q146" i="8" s="1"/>
  <c r="R146" i="8"/>
  <c r="S146" i="8" s="1"/>
  <c r="T146" i="8" s="1"/>
  <c r="U146" i="8" s="1"/>
  <c r="O147" i="8" s="1"/>
  <c r="P147" i="8" s="1"/>
  <c r="Q147" i="8" s="1"/>
  <c r="R147" i="8" s="1"/>
  <c r="S147" i="8" s="1"/>
  <c r="T147" i="8" s="1"/>
  <c r="U147" i="8" s="1"/>
  <c r="O148" i="8" s="1"/>
  <c r="P148" i="8" s="1"/>
  <c r="Q148" i="8" s="1"/>
  <c r="R148" i="8" s="1"/>
  <c r="S148" i="8" s="1"/>
  <c r="T148" i="8" s="1"/>
  <c r="U148" i="8" s="1"/>
  <c r="O149" i="8" s="1"/>
  <c r="P149" i="8" s="1"/>
  <c r="Q149" i="8" s="1"/>
  <c r="R149" i="8" s="1"/>
  <c r="S149" i="8" s="1"/>
  <c r="T149" i="8" s="1"/>
  <c r="U149" i="8" s="1"/>
  <c r="P150" i="8"/>
  <c r="G154" i="8"/>
  <c r="H154" i="8" s="1"/>
  <c r="I154" i="8" s="1"/>
  <c r="C155" i="8" s="1"/>
  <c r="D155" i="8" s="1"/>
  <c r="E155" i="8" s="1"/>
  <c r="F155" i="8" s="1"/>
  <c r="G155" i="8" s="1"/>
  <c r="H155" i="8" s="1"/>
  <c r="I155" i="8" s="1"/>
  <c r="C156" i="8" s="1"/>
  <c r="D156" i="8" s="1"/>
  <c r="E156" i="8" s="1"/>
  <c r="F156" i="8" s="1"/>
  <c r="G156" i="8" s="1"/>
  <c r="H156" i="8" s="1"/>
  <c r="I156" i="8" s="1"/>
  <c r="C157" i="8" s="1"/>
  <c r="D157" i="8" s="1"/>
  <c r="E157" i="8" s="1"/>
  <c r="F157" i="8" s="1"/>
  <c r="G157" i="8" s="1"/>
  <c r="H157" i="8" s="1"/>
  <c r="I157" i="8" s="1"/>
  <c r="C158" i="8" s="1"/>
  <c r="D158" i="8" s="1"/>
  <c r="E158" i="8" s="1"/>
  <c r="F158" i="8" s="1"/>
  <c r="G158" i="8" s="1"/>
  <c r="H158" i="8" s="1"/>
  <c r="I158" i="8" s="1"/>
  <c r="P154" i="8"/>
  <c r="Q154" i="8" s="1"/>
  <c r="R154" i="8"/>
  <c r="S154" i="8" s="1"/>
  <c r="T154" i="8" s="1"/>
  <c r="U154" i="8" s="1"/>
  <c r="O155" i="8" s="1"/>
  <c r="P155" i="8" s="1"/>
  <c r="Q155" i="8" s="1"/>
  <c r="R155" i="8" s="1"/>
  <c r="S155" i="8" s="1"/>
  <c r="T155" i="8" s="1"/>
  <c r="U155" i="8" s="1"/>
  <c r="O156" i="8" s="1"/>
  <c r="P156" i="8" s="1"/>
  <c r="Q156" i="8" s="1"/>
  <c r="R156" i="8" s="1"/>
  <c r="S156" i="8" s="1"/>
  <c r="T156" i="8" s="1"/>
  <c r="U156" i="8" s="1"/>
  <c r="O157" i="8" s="1"/>
  <c r="P157" i="8" s="1"/>
  <c r="Q157" i="8" s="1"/>
  <c r="R157" i="8" s="1"/>
  <c r="S157" i="8" s="1"/>
  <c r="T157" i="8" s="1"/>
  <c r="U157" i="8" s="1"/>
  <c r="O158" i="8" s="1"/>
  <c r="P158" i="8" s="1"/>
  <c r="Q158" i="8" s="1"/>
  <c r="AE154" i="8"/>
  <c r="AF154" i="8" s="1"/>
  <c r="AG154" i="8" s="1"/>
  <c r="AA155" i="8" s="1"/>
  <c r="AB155" i="8" s="1"/>
  <c r="AC155" i="8" s="1"/>
  <c r="AD155" i="8" s="1"/>
  <c r="AE155" i="8" s="1"/>
  <c r="AF155" i="8" s="1"/>
  <c r="AG155" i="8" s="1"/>
  <c r="AA156" i="8" s="1"/>
  <c r="AB156" i="8" s="1"/>
  <c r="AC156" i="8" s="1"/>
  <c r="AD156" i="8" s="1"/>
  <c r="AE156" i="8" s="1"/>
  <c r="AF156" i="8" s="1"/>
  <c r="AG156" i="8" s="1"/>
  <c r="AA157" i="8" s="1"/>
  <c r="AB157" i="8" s="1"/>
  <c r="AC157" i="8" s="1"/>
  <c r="AD157" i="8" s="1"/>
  <c r="AE157" i="8" s="1"/>
  <c r="AF157" i="8" s="1"/>
  <c r="AG157" i="8" s="1"/>
  <c r="AA158" i="8" s="1"/>
  <c r="AB158" i="8" s="1"/>
  <c r="AC158" i="8" s="1"/>
  <c r="AD158" i="8" s="1"/>
  <c r="AE158" i="8" s="1"/>
  <c r="I163" i="8"/>
  <c r="Q163" i="8"/>
  <c r="R163" i="8" s="1"/>
  <c r="S163" i="8" s="1"/>
  <c r="T163" i="8" s="1"/>
  <c r="U163" i="8" s="1"/>
  <c r="O164" i="8" s="1"/>
  <c r="P164" i="8" s="1"/>
  <c r="Q164" i="8" s="1"/>
  <c r="R164" i="8" s="1"/>
  <c r="S164" i="8" s="1"/>
  <c r="T164" i="8" s="1"/>
  <c r="U164" i="8" s="1"/>
  <c r="O165" i="8" s="1"/>
  <c r="P165" i="8" s="1"/>
  <c r="Q165" i="8" s="1"/>
  <c r="R165" i="8" s="1"/>
  <c r="S165" i="8" s="1"/>
  <c r="T165" i="8" s="1"/>
  <c r="U165" i="8" s="1"/>
  <c r="O166" i="8" s="1"/>
  <c r="P166" i="8" s="1"/>
  <c r="Q166" i="8" s="1"/>
  <c r="R166" i="8" s="1"/>
  <c r="S166" i="8" s="1"/>
  <c r="T166" i="8" s="1"/>
  <c r="U166" i="8" s="1"/>
  <c r="O167" i="8" s="1"/>
  <c r="P167" i="8" s="1"/>
  <c r="Q167" i="8" s="1"/>
  <c r="AE163" i="8"/>
  <c r="AF163" i="8" s="1"/>
  <c r="AG163" i="8"/>
  <c r="AA164" i="8" s="1"/>
  <c r="AB164" i="8" s="1"/>
  <c r="AC164" i="8" s="1"/>
  <c r="AD164" i="8" s="1"/>
  <c r="AE164" i="8" s="1"/>
  <c r="AF164" i="8" s="1"/>
  <c r="AG164" i="8" s="1"/>
  <c r="AA165" i="8" s="1"/>
  <c r="AB165" i="8" s="1"/>
  <c r="AC165" i="8" s="1"/>
  <c r="AD165" i="8" s="1"/>
  <c r="AE165" i="8" s="1"/>
  <c r="AF165" i="8" s="1"/>
  <c r="AG165" i="8" s="1"/>
  <c r="AA166" i="8" s="1"/>
  <c r="AB166" i="8" s="1"/>
  <c r="AC166" i="8" s="1"/>
  <c r="AD166" i="8" s="1"/>
  <c r="AE166" i="8" s="1"/>
  <c r="AF166" i="8" s="1"/>
  <c r="AG166" i="8" s="1"/>
  <c r="AA167" i="8" s="1"/>
  <c r="AB167" i="8" s="1"/>
  <c r="AC167" i="8" s="1"/>
  <c r="AD167" i="8" s="1"/>
  <c r="AE167" i="8" s="1"/>
  <c r="AF167" i="8" s="1"/>
  <c r="C164" i="8"/>
  <c r="D164" i="8" s="1"/>
  <c r="E164" i="8" s="1"/>
  <c r="F164" i="8" s="1"/>
  <c r="G164" i="8" s="1"/>
  <c r="H164" i="8" s="1"/>
  <c r="I164" i="8" s="1"/>
  <c r="C165" i="8" s="1"/>
  <c r="D165" i="8" s="1"/>
  <c r="E165" i="8" s="1"/>
  <c r="F165" i="8" s="1"/>
  <c r="G165" i="8" s="1"/>
  <c r="H165" i="8" s="1"/>
  <c r="I165" i="8" s="1"/>
  <c r="C166" i="8" s="1"/>
  <c r="D166" i="8" s="1"/>
  <c r="E166" i="8" s="1"/>
  <c r="F166" i="8" s="1"/>
  <c r="G166" i="8" s="1"/>
  <c r="H166" i="8" s="1"/>
  <c r="I166" i="8" s="1"/>
  <c r="C167" i="8" s="1"/>
  <c r="D167" i="8" s="1"/>
  <c r="E167" i="8" s="1"/>
  <c r="F167" i="8" s="1"/>
  <c r="G167" i="8" s="1"/>
  <c r="H167" i="8" s="1"/>
  <c r="I167" i="8" s="1"/>
  <c r="C168" i="8" s="1"/>
  <c r="AI170" i="8"/>
  <c r="AI171" i="8"/>
  <c r="AI172" i="8"/>
  <c r="AJ172" i="8"/>
  <c r="I179" i="8"/>
  <c r="C180" i="8"/>
  <c r="D180" i="8" s="1"/>
  <c r="E180" i="8" s="1"/>
  <c r="F180" i="8" s="1"/>
  <c r="G180" i="8" s="1"/>
  <c r="H180" i="8" s="1"/>
  <c r="I180" i="8" s="1"/>
  <c r="C181" i="8" s="1"/>
  <c r="D181" i="8" s="1"/>
  <c r="E181" i="8" s="1"/>
  <c r="F181" i="8" s="1"/>
  <c r="G181" i="8" s="1"/>
  <c r="H181" i="8" s="1"/>
  <c r="I181" i="8" s="1"/>
  <c r="C182" i="8" s="1"/>
  <c r="D182" i="8" s="1"/>
  <c r="E182" i="8" s="1"/>
  <c r="F182" i="8" s="1"/>
  <c r="G182" i="8" s="1"/>
  <c r="H182" i="8" s="1"/>
  <c r="I182" i="8" s="1"/>
  <c r="C183" i="8" s="1"/>
  <c r="D183" i="8" s="1"/>
  <c r="E183" i="8" s="1"/>
  <c r="F183" i="8" s="1"/>
  <c r="G183" i="8" s="1"/>
  <c r="H183" i="8" s="1"/>
  <c r="I183" i="8" s="1"/>
  <c r="Q179" i="8"/>
  <c r="R179" i="8"/>
  <c r="S179" i="8" s="1"/>
  <c r="T179" i="8" s="1"/>
  <c r="U179" i="8" s="1"/>
  <c r="O180" i="8" s="1"/>
  <c r="P180" i="8" s="1"/>
  <c r="Q180" i="8" s="1"/>
  <c r="R180" i="8" s="1"/>
  <c r="S180" i="8" s="1"/>
  <c r="T180" i="8" s="1"/>
  <c r="U180" i="8" s="1"/>
  <c r="O181" i="8" s="1"/>
  <c r="P181" i="8" s="1"/>
  <c r="Q181" i="8" s="1"/>
  <c r="R181" i="8" s="1"/>
  <c r="S181" i="8" s="1"/>
  <c r="T181" i="8" s="1"/>
  <c r="U181" i="8" s="1"/>
  <c r="O182" i="8" s="1"/>
  <c r="P182" i="8" s="1"/>
  <c r="Q182" i="8" s="1"/>
  <c r="R182" i="8" s="1"/>
  <c r="S182" i="8" s="1"/>
  <c r="T182" i="8" s="1"/>
  <c r="U182" i="8" s="1"/>
  <c r="AC179" i="8"/>
  <c r="AD179" i="8" s="1"/>
  <c r="AE179" i="8" s="1"/>
  <c r="AF179" i="8" s="1"/>
  <c r="AG179" i="8" s="1"/>
  <c r="AA180" i="8" s="1"/>
  <c r="AB180" i="8" s="1"/>
  <c r="AC180" i="8" s="1"/>
  <c r="AD180" i="8" s="1"/>
  <c r="AE180" i="8" s="1"/>
  <c r="AF180" i="8" s="1"/>
  <c r="AG180" i="8" s="1"/>
  <c r="AA181" i="8" s="1"/>
  <c r="AB181" i="8" s="1"/>
  <c r="AC181" i="8" s="1"/>
  <c r="AD181" i="8" s="1"/>
  <c r="AE181" i="8" s="1"/>
  <c r="AF181" i="8" s="1"/>
  <c r="AG181" i="8" s="1"/>
  <c r="AA182" i="8" s="1"/>
  <c r="AB182" i="8" s="1"/>
  <c r="AC182" i="8" s="1"/>
  <c r="AD182" i="8" s="1"/>
  <c r="AE182" i="8" s="1"/>
  <c r="AF182" i="8" s="1"/>
  <c r="AG182" i="8" s="1"/>
  <c r="AA183" i="8" s="1"/>
  <c r="AB183" i="8" s="1"/>
  <c r="AC183" i="8" s="1"/>
  <c r="H188" i="8"/>
  <c r="I188" i="8"/>
  <c r="C189" i="8" s="1"/>
  <c r="D189" i="8"/>
  <c r="E189" i="8" s="1"/>
  <c r="F189" i="8" s="1"/>
  <c r="G189" i="8" s="1"/>
  <c r="H189" i="8" s="1"/>
  <c r="I189" i="8" s="1"/>
  <c r="C190" i="8" s="1"/>
  <c r="D190" i="8" s="1"/>
  <c r="E190" i="8" s="1"/>
  <c r="F190" i="8" s="1"/>
  <c r="G190" i="8" s="1"/>
  <c r="H190" i="8" s="1"/>
  <c r="I190" i="8" s="1"/>
  <c r="C191" i="8" s="1"/>
  <c r="D191" i="8" s="1"/>
  <c r="E191" i="8" s="1"/>
  <c r="F191" i="8" s="1"/>
  <c r="G191" i="8" s="1"/>
  <c r="H191" i="8" s="1"/>
  <c r="I191" i="8" s="1"/>
  <c r="C192" i="8" s="1"/>
  <c r="D192" i="8" s="1"/>
  <c r="E192" i="8" s="1"/>
  <c r="F192" i="8" s="1"/>
  <c r="G192" i="8" s="1"/>
  <c r="H192" i="8" s="1"/>
  <c r="AD188" i="8"/>
  <c r="AE188" i="8" s="1"/>
  <c r="AF188" i="8" s="1"/>
  <c r="AG188" i="8" s="1"/>
  <c r="AA189" i="8" s="1"/>
  <c r="AB189" i="8" s="1"/>
  <c r="AC189" i="8" s="1"/>
  <c r="AD189" i="8" s="1"/>
  <c r="AE189" i="8" s="1"/>
  <c r="AF189" i="8" s="1"/>
  <c r="AG189" i="8" s="1"/>
  <c r="AA190" i="8" s="1"/>
  <c r="AB190" i="8" s="1"/>
  <c r="AC190" i="8" s="1"/>
  <c r="AD190" i="8" s="1"/>
  <c r="AE190" i="8" s="1"/>
  <c r="AF190" i="8" s="1"/>
  <c r="AG190" i="8" s="1"/>
  <c r="AA191" i="8" s="1"/>
  <c r="AB191" i="8" s="1"/>
  <c r="AC191" i="8" s="1"/>
  <c r="AD191" i="8" s="1"/>
  <c r="AE191" i="8" s="1"/>
  <c r="AF191" i="8" s="1"/>
  <c r="AG191" i="8" s="1"/>
  <c r="AA192" i="8" s="1"/>
  <c r="AB192" i="8" s="1"/>
  <c r="AC192" i="8" s="1"/>
  <c r="AD192" i="8" s="1"/>
  <c r="O189" i="8"/>
  <c r="P189" i="8"/>
  <c r="Q189" i="8"/>
  <c r="R189" i="8" s="1"/>
  <c r="S189" i="8" s="1"/>
  <c r="T189" i="8" s="1"/>
  <c r="U189" i="8" s="1"/>
  <c r="O190" i="8" s="1"/>
  <c r="P190" i="8" s="1"/>
  <c r="Q190" i="8" s="1"/>
  <c r="R190" i="8" s="1"/>
  <c r="S190" i="8" s="1"/>
  <c r="T190" i="8" s="1"/>
  <c r="U190" i="8" s="1"/>
  <c r="O191" i="8" s="1"/>
  <c r="P191" i="8" s="1"/>
  <c r="Q191" i="8" s="1"/>
  <c r="R191" i="8" s="1"/>
  <c r="S191" i="8" s="1"/>
  <c r="T191" i="8" s="1"/>
  <c r="U191" i="8" s="1"/>
  <c r="O192" i="8" s="1"/>
  <c r="P192" i="8" s="1"/>
  <c r="Q192" i="8" s="1"/>
  <c r="R192" i="8" s="1"/>
  <c r="S192" i="8" s="1"/>
  <c r="T192" i="8" s="1"/>
  <c r="U192" i="8" s="1"/>
  <c r="P193" i="8"/>
  <c r="H197" i="8"/>
  <c r="I197" i="8" s="1"/>
  <c r="C198" i="8" s="1"/>
  <c r="D198" i="8" s="1"/>
  <c r="E198" i="8" s="1"/>
  <c r="F198" i="8" s="1"/>
  <c r="G198" i="8" s="1"/>
  <c r="H198" i="8" s="1"/>
  <c r="I198" i="8" s="1"/>
  <c r="C199" i="8" s="1"/>
  <c r="D199" i="8" s="1"/>
  <c r="E199" i="8" s="1"/>
  <c r="F199" i="8" s="1"/>
  <c r="G199" i="8" s="1"/>
  <c r="H199" i="8" s="1"/>
  <c r="I199" i="8" s="1"/>
  <c r="C200" i="8" s="1"/>
  <c r="D200" i="8" s="1"/>
  <c r="E200" i="8" s="1"/>
  <c r="F200" i="8" s="1"/>
  <c r="G200" i="8" s="1"/>
  <c r="H200" i="8" s="1"/>
  <c r="I200" i="8" s="1"/>
  <c r="C201" i="8" s="1"/>
  <c r="D201" i="8" s="1"/>
  <c r="E201" i="8" s="1"/>
  <c r="F201" i="8" s="1"/>
  <c r="G201" i="8" s="1"/>
  <c r="H201" i="8" s="1"/>
  <c r="I201" i="8" s="1"/>
  <c r="P197" i="8"/>
  <c r="Q197" i="8" s="1"/>
  <c r="R197" i="8" s="1"/>
  <c r="S197" i="8" s="1"/>
  <c r="T197" i="8" s="1"/>
  <c r="U197" i="8" s="1"/>
  <c r="O198" i="8" s="1"/>
  <c r="P198" i="8" s="1"/>
  <c r="Q198" i="8" s="1"/>
  <c r="R198" i="8" s="1"/>
  <c r="S198" i="8" s="1"/>
  <c r="T198" i="8" s="1"/>
  <c r="U198" i="8" s="1"/>
  <c r="O199" i="8" s="1"/>
  <c r="P199" i="8" s="1"/>
  <c r="Q199" i="8" s="1"/>
  <c r="R199" i="8" s="1"/>
  <c r="S199" i="8" s="1"/>
  <c r="T199" i="8" s="1"/>
  <c r="U199" i="8" s="1"/>
  <c r="O200" i="8" s="1"/>
  <c r="P200" i="8" s="1"/>
  <c r="Q200" i="8" s="1"/>
  <c r="R200" i="8" s="1"/>
  <c r="S200" i="8" s="1"/>
  <c r="T200" i="8" s="1"/>
  <c r="U200" i="8" s="1"/>
  <c r="O201" i="8" s="1"/>
  <c r="P201" i="8" s="1"/>
  <c r="Q201" i="8" s="1"/>
  <c r="AE197" i="8"/>
  <c r="AF197" i="8"/>
  <c r="AG197" i="8"/>
  <c r="AA198" i="8" s="1"/>
  <c r="AB198" i="8" s="1"/>
  <c r="AC198" i="8" s="1"/>
  <c r="AD198" i="8" s="1"/>
  <c r="AE198" i="8" s="1"/>
  <c r="AF198" i="8" s="1"/>
  <c r="AG198" i="8" s="1"/>
  <c r="AA199" i="8" s="1"/>
  <c r="AB199" i="8" s="1"/>
  <c r="AC199" i="8" s="1"/>
  <c r="AD199" i="8" s="1"/>
  <c r="AE199" i="8" s="1"/>
  <c r="AF199" i="8" s="1"/>
  <c r="AG199" i="8" s="1"/>
  <c r="AA200" i="8" s="1"/>
  <c r="AB200" i="8" s="1"/>
  <c r="AC200" i="8" s="1"/>
  <c r="AD200" i="8" s="1"/>
  <c r="AE200" i="8" s="1"/>
  <c r="AF200" i="8" s="1"/>
  <c r="AG200" i="8" s="1"/>
  <c r="AA201" i="8" s="1"/>
  <c r="AB201" i="8" s="1"/>
  <c r="AC201" i="8" s="1"/>
  <c r="AD201" i="8" s="1"/>
  <c r="AE201" i="8" s="1"/>
  <c r="I206" i="8"/>
  <c r="C207" i="8" s="1"/>
  <c r="D207" i="8" s="1"/>
  <c r="E207" i="8" s="1"/>
  <c r="F207" i="8" s="1"/>
  <c r="G207" i="8" s="1"/>
  <c r="H207" i="8" s="1"/>
  <c r="I207" i="8" s="1"/>
  <c r="C208" i="8" s="1"/>
  <c r="D208" i="8" s="1"/>
  <c r="E208" i="8" s="1"/>
  <c r="F208" i="8" s="1"/>
  <c r="G208" i="8" s="1"/>
  <c r="H208" i="8" s="1"/>
  <c r="I208" i="8" s="1"/>
  <c r="C209" i="8" s="1"/>
  <c r="D209" i="8" s="1"/>
  <c r="E209" i="8" s="1"/>
  <c r="F209" i="8" s="1"/>
  <c r="G209" i="8" s="1"/>
  <c r="H209" i="8" s="1"/>
  <c r="I209" i="8" s="1"/>
  <c r="C210" i="8" s="1"/>
  <c r="D210" i="8" s="1"/>
  <c r="E210" i="8" s="1"/>
  <c r="F210" i="8" s="1"/>
  <c r="G210" i="8" s="1"/>
  <c r="H210" i="8" s="1"/>
  <c r="I210" i="8" s="1"/>
  <c r="C211" i="8" s="1"/>
  <c r="Q206" i="8"/>
  <c r="R206" i="8" s="1"/>
  <c r="S206" i="8" s="1"/>
  <c r="T206" i="8" s="1"/>
  <c r="U206" i="8" s="1"/>
  <c r="O207" i="8" s="1"/>
  <c r="P207" i="8" s="1"/>
  <c r="Q207" i="8" s="1"/>
  <c r="R207" i="8" s="1"/>
  <c r="S207" i="8" s="1"/>
  <c r="T207" i="8" s="1"/>
  <c r="U207" i="8" s="1"/>
  <c r="O208" i="8" s="1"/>
  <c r="P208" i="8" s="1"/>
  <c r="Q208" i="8" s="1"/>
  <c r="R208" i="8" s="1"/>
  <c r="S208" i="8" s="1"/>
  <c r="T208" i="8" s="1"/>
  <c r="U208" i="8" s="1"/>
  <c r="O209" i="8" s="1"/>
  <c r="P209" i="8" s="1"/>
  <c r="Q209" i="8" s="1"/>
  <c r="R209" i="8" s="1"/>
  <c r="S209" i="8" s="1"/>
  <c r="T209" i="8" s="1"/>
  <c r="U209" i="8" s="1"/>
  <c r="O210" i="8" s="1"/>
  <c r="P210" i="8" s="1"/>
  <c r="Q210" i="8" s="1"/>
  <c r="AE206" i="8"/>
  <c r="AF206" i="8"/>
  <c r="AG206" i="8" s="1"/>
  <c r="AA207" i="8" s="1"/>
  <c r="AB207" i="8" s="1"/>
  <c r="AC207" i="8" s="1"/>
  <c r="AD207" i="8" s="1"/>
  <c r="AE207" i="8" s="1"/>
  <c r="AF207" i="8" s="1"/>
  <c r="AG207" i="8" s="1"/>
  <c r="AA208" i="8" s="1"/>
  <c r="AB208" i="8" s="1"/>
  <c r="AC208" i="8" s="1"/>
  <c r="AD208" i="8" s="1"/>
  <c r="AE208" i="8" s="1"/>
  <c r="AF208" i="8" s="1"/>
  <c r="AG208" i="8" s="1"/>
  <c r="AA209" i="8" s="1"/>
  <c r="AB209" i="8" s="1"/>
  <c r="AC209" i="8" s="1"/>
  <c r="AD209" i="8" s="1"/>
  <c r="AE209" i="8" s="1"/>
  <c r="AF209" i="8" s="1"/>
  <c r="AG209" i="8" s="1"/>
  <c r="AA210" i="8" s="1"/>
  <c r="AB210" i="8" s="1"/>
  <c r="AC210" i="8" s="1"/>
  <c r="AD210" i="8" s="1"/>
  <c r="AE210" i="8" s="1"/>
  <c r="AF210" i="8" s="1"/>
  <c r="AI213" i="8"/>
  <c r="AI214" i="8"/>
  <c r="AI215" i="8"/>
  <c r="AJ215" i="8"/>
  <c r="R222" i="8"/>
  <c r="S222" i="8" s="1"/>
  <c r="T222" i="8" s="1"/>
  <c r="U222" i="8" s="1"/>
  <c r="O223" i="8" s="1"/>
  <c r="P223" i="8" s="1"/>
  <c r="Q223" i="8" s="1"/>
  <c r="R223" i="8" s="1"/>
  <c r="S223" i="8" s="1"/>
  <c r="T223" i="8" s="1"/>
  <c r="U223" i="8" s="1"/>
  <c r="O224" i="8" s="1"/>
  <c r="P224" i="8" s="1"/>
  <c r="Q224" i="8" s="1"/>
  <c r="R224" i="8" s="1"/>
  <c r="S224" i="8" s="1"/>
  <c r="T224" i="8" s="1"/>
  <c r="U224" i="8" s="1"/>
  <c r="O225" i="8" s="1"/>
  <c r="P225" i="8" s="1"/>
  <c r="Q225" i="8" s="1"/>
  <c r="R225" i="8" s="1"/>
  <c r="S225" i="8" s="1"/>
  <c r="T225" i="8" s="1"/>
  <c r="U225" i="8" s="1"/>
  <c r="AE222" i="8"/>
  <c r="AF222" i="8"/>
  <c r="AG222" i="8" s="1"/>
  <c r="AA223" i="8" s="1"/>
  <c r="AB223" i="8" s="1"/>
  <c r="AC223" i="8" s="1"/>
  <c r="AD223" i="8" s="1"/>
  <c r="AE223" i="8" s="1"/>
  <c r="AF223" i="8" s="1"/>
  <c r="AG223" i="8" s="1"/>
  <c r="AA224" i="8" s="1"/>
  <c r="AB224" i="8" s="1"/>
  <c r="AC224" i="8" s="1"/>
  <c r="AD224" i="8" s="1"/>
  <c r="AE224" i="8" s="1"/>
  <c r="AF224" i="8" s="1"/>
  <c r="AG224" i="8" s="1"/>
  <c r="AA225" i="8" s="1"/>
  <c r="AB225" i="8" s="1"/>
  <c r="AC225" i="8" s="1"/>
  <c r="AD225" i="8" s="1"/>
  <c r="AE225" i="8" s="1"/>
  <c r="AF225" i="8" s="1"/>
  <c r="AG225" i="8" s="1"/>
  <c r="AA226" i="8" s="1"/>
  <c r="AB226" i="8" s="1"/>
  <c r="AC226" i="8" s="1"/>
  <c r="C223" i="8"/>
  <c r="D223" i="8" s="1"/>
  <c r="E223" i="8" s="1"/>
  <c r="F223" i="8" s="1"/>
  <c r="G223" i="8" s="1"/>
  <c r="H223" i="8" s="1"/>
  <c r="I223" i="8" s="1"/>
  <c r="C224" i="8" s="1"/>
  <c r="D224" i="8" s="1"/>
  <c r="E224" i="8" s="1"/>
  <c r="F224" i="8" s="1"/>
  <c r="G224" i="8" s="1"/>
  <c r="H224" i="8" s="1"/>
  <c r="I224" i="8" s="1"/>
  <c r="C225" i="8" s="1"/>
  <c r="D225" i="8" s="1"/>
  <c r="E225" i="8" s="1"/>
  <c r="F225" i="8" s="1"/>
  <c r="G225" i="8" s="1"/>
  <c r="H225" i="8" s="1"/>
  <c r="I225" i="8" s="1"/>
  <c r="C226" i="8" s="1"/>
  <c r="D226" i="8" s="1"/>
  <c r="E226" i="8" s="1"/>
  <c r="F226" i="8" s="1"/>
  <c r="G226" i="8" s="1"/>
  <c r="H226" i="8" s="1"/>
  <c r="I226" i="8" s="1"/>
  <c r="AF231" i="8"/>
  <c r="AG231" i="8" s="1"/>
  <c r="AA232" i="8" s="1"/>
  <c r="AB232" i="8" s="1"/>
  <c r="AC232" i="8" s="1"/>
  <c r="AD232" i="8" s="1"/>
  <c r="AE232" i="8" s="1"/>
  <c r="AF232" i="8" s="1"/>
  <c r="AG232" i="8" s="1"/>
  <c r="AA233" i="8" s="1"/>
  <c r="AB233" i="8" s="1"/>
  <c r="AC233" i="8" s="1"/>
  <c r="AD233" i="8" s="1"/>
  <c r="AE233" i="8" s="1"/>
  <c r="AF233" i="8" s="1"/>
  <c r="AG233" i="8" s="1"/>
  <c r="AA234" i="8" s="1"/>
  <c r="AB234" i="8" s="1"/>
  <c r="AC234" i="8" s="1"/>
  <c r="AD234" i="8" s="1"/>
  <c r="AE234" i="8" s="1"/>
  <c r="AF234" i="8" s="1"/>
  <c r="AG234" i="8" s="1"/>
  <c r="AA235" i="8" s="1"/>
  <c r="AB235" i="8" s="1"/>
  <c r="AC235" i="8" s="1"/>
  <c r="AD235" i="8" s="1"/>
  <c r="C232" i="8"/>
  <c r="D232" i="8" s="1"/>
  <c r="E232" i="8" s="1"/>
  <c r="F232" i="8" s="1"/>
  <c r="G232" i="8" s="1"/>
  <c r="H232" i="8" s="1"/>
  <c r="I232" i="8" s="1"/>
  <c r="C233" i="8" s="1"/>
  <c r="D233" i="8" s="1"/>
  <c r="E233" i="8" s="1"/>
  <c r="F233" i="8" s="1"/>
  <c r="G233" i="8" s="1"/>
  <c r="H233" i="8" s="1"/>
  <c r="I233" i="8" s="1"/>
  <c r="C234" i="8" s="1"/>
  <c r="D234" i="8" s="1"/>
  <c r="E234" i="8" s="1"/>
  <c r="F234" i="8" s="1"/>
  <c r="G234" i="8" s="1"/>
  <c r="H234" i="8" s="1"/>
  <c r="I234" i="8" s="1"/>
  <c r="C235" i="8" s="1"/>
  <c r="D235" i="8" s="1"/>
  <c r="E235" i="8" s="1"/>
  <c r="F235" i="8" s="1"/>
  <c r="G235" i="8" s="1"/>
  <c r="H235" i="8" s="1"/>
  <c r="Q232" i="8"/>
  <c r="R232" i="8" s="1"/>
  <c r="S232" i="8" s="1"/>
  <c r="T232" i="8" s="1"/>
  <c r="U232" i="8" s="1"/>
  <c r="O233" i="8" s="1"/>
  <c r="P233" i="8" s="1"/>
  <c r="Q233" i="8" s="1"/>
  <c r="R233" i="8" s="1"/>
  <c r="S233" i="8" s="1"/>
  <c r="T233" i="8" s="1"/>
  <c r="U233" i="8" s="1"/>
  <c r="O234" i="8" s="1"/>
  <c r="P234" i="8" s="1"/>
  <c r="Q234" i="8" s="1"/>
  <c r="R234" i="8" s="1"/>
  <c r="S234" i="8" s="1"/>
  <c r="T234" i="8" s="1"/>
  <c r="U234" i="8" s="1"/>
  <c r="O235" i="8" s="1"/>
  <c r="P235" i="8" s="1"/>
  <c r="Q235" i="8" s="1"/>
  <c r="R235" i="8" s="1"/>
  <c r="S235" i="8" s="1"/>
  <c r="T235" i="8" s="1"/>
  <c r="U235" i="8" s="1"/>
  <c r="P236" i="8"/>
  <c r="R240" i="8"/>
  <c r="S240" i="8"/>
  <c r="T240" i="8"/>
  <c r="U240" i="8" s="1"/>
  <c r="O241" i="8" s="1"/>
  <c r="P241" i="8" s="1"/>
  <c r="Q241" i="8" s="1"/>
  <c r="R241" i="8"/>
  <c r="S241" i="8" s="1"/>
  <c r="T241" i="8" s="1"/>
  <c r="U241" i="8" s="1"/>
  <c r="O242" i="8" s="1"/>
  <c r="P242" i="8" s="1"/>
  <c r="Q242" i="8" s="1"/>
  <c r="R242" i="8" s="1"/>
  <c r="S242" i="8" s="1"/>
  <c r="T242" i="8" s="1"/>
  <c r="U242" i="8" s="1"/>
  <c r="O243" i="8" s="1"/>
  <c r="P243" i="8" s="1"/>
  <c r="Q243" i="8" s="1"/>
  <c r="R243" i="8" s="1"/>
  <c r="S243" i="8" s="1"/>
  <c r="T243" i="8" s="1"/>
  <c r="U243" i="8" s="1"/>
  <c r="O244" i="8" s="1"/>
  <c r="P244" i="8" s="1"/>
  <c r="Q244" i="8" s="1"/>
  <c r="AG240" i="8"/>
  <c r="C241" i="8"/>
  <c r="D241" i="8" s="1"/>
  <c r="E241" i="8" s="1"/>
  <c r="F241" i="8" s="1"/>
  <c r="G241" i="8" s="1"/>
  <c r="H241" i="8" s="1"/>
  <c r="I241" i="8" s="1"/>
  <c r="C242" i="8" s="1"/>
  <c r="D242" i="8" s="1"/>
  <c r="E242" i="8" s="1"/>
  <c r="F242" i="8" s="1"/>
  <c r="G242" i="8" s="1"/>
  <c r="H242" i="8" s="1"/>
  <c r="I242" i="8" s="1"/>
  <c r="C243" i="8" s="1"/>
  <c r="D243" i="8" s="1"/>
  <c r="E243" i="8" s="1"/>
  <c r="F243" i="8" s="1"/>
  <c r="G243" i="8" s="1"/>
  <c r="H243" i="8" s="1"/>
  <c r="I243" i="8" s="1"/>
  <c r="C244" i="8" s="1"/>
  <c r="D244" i="8" s="1"/>
  <c r="E244" i="8" s="1"/>
  <c r="F244" i="8" s="1"/>
  <c r="G244" i="8" s="1"/>
  <c r="H244" i="8" s="1"/>
  <c r="I244" i="8" s="1"/>
  <c r="AA241" i="8"/>
  <c r="AB241" i="8"/>
  <c r="AC241" i="8"/>
  <c r="AD241" i="8" s="1"/>
  <c r="AE241" i="8" s="1"/>
  <c r="AF241" i="8" s="1"/>
  <c r="AG241" i="8" s="1"/>
  <c r="AA242" i="8" s="1"/>
  <c r="AB242" i="8" s="1"/>
  <c r="AC242" i="8" s="1"/>
  <c r="AD242" i="8" s="1"/>
  <c r="AE242" i="8" s="1"/>
  <c r="AF242" i="8" s="1"/>
  <c r="AG242" i="8" s="1"/>
  <c r="AA243" i="8" s="1"/>
  <c r="AB243" i="8" s="1"/>
  <c r="AC243" i="8" s="1"/>
  <c r="AD243" i="8" s="1"/>
  <c r="AE243" i="8" s="1"/>
  <c r="AF243" i="8" s="1"/>
  <c r="AG243" i="8" s="1"/>
  <c r="AA244" i="8" s="1"/>
  <c r="AB244" i="8" s="1"/>
  <c r="AC244" i="8" s="1"/>
  <c r="AD244" i="8" s="1"/>
  <c r="AE244" i="8" s="1"/>
  <c r="S249" i="8"/>
  <c r="T249" i="8" s="1"/>
  <c r="U249" i="8"/>
  <c r="O250" i="8"/>
  <c r="P250" i="8" s="1"/>
  <c r="Q250" i="8" s="1"/>
  <c r="R250" i="8" s="1"/>
  <c r="S250" i="8" s="1"/>
  <c r="T250" i="8" s="1"/>
  <c r="U250" i="8" s="1"/>
  <c r="O251" i="8" s="1"/>
  <c r="P251" i="8" s="1"/>
  <c r="Q251" i="8" s="1"/>
  <c r="R251" i="8" s="1"/>
  <c r="S251" i="8" s="1"/>
  <c r="T251" i="8" s="1"/>
  <c r="U251" i="8" s="1"/>
  <c r="O252" i="8" s="1"/>
  <c r="P252" i="8" s="1"/>
  <c r="Q252" i="8" s="1"/>
  <c r="R252" i="8" s="1"/>
  <c r="S252" i="8" s="1"/>
  <c r="T252" i="8" s="1"/>
  <c r="U252" i="8" s="1"/>
  <c r="O253" i="8" s="1"/>
  <c r="P253" i="8" s="1"/>
  <c r="Q253" i="8" s="1"/>
  <c r="AG249" i="8"/>
  <c r="D250" i="8"/>
  <c r="E250" i="8" s="1"/>
  <c r="F250" i="8"/>
  <c r="G250" i="8" s="1"/>
  <c r="H250" i="8" s="1"/>
  <c r="I250" i="8" s="1"/>
  <c r="C251" i="8" s="1"/>
  <c r="D251" i="8" s="1"/>
  <c r="E251" i="8" s="1"/>
  <c r="F251" i="8" s="1"/>
  <c r="G251" i="8" s="1"/>
  <c r="H251" i="8" s="1"/>
  <c r="I251" i="8" s="1"/>
  <c r="C252" i="8" s="1"/>
  <c r="D252" i="8" s="1"/>
  <c r="E252" i="8" s="1"/>
  <c r="F252" i="8" s="1"/>
  <c r="G252" i="8" s="1"/>
  <c r="H252" i="8" s="1"/>
  <c r="I252" i="8" s="1"/>
  <c r="C253" i="8" s="1"/>
  <c r="D253" i="8" s="1"/>
  <c r="E253" i="8" s="1"/>
  <c r="F253" i="8" s="1"/>
  <c r="G253" i="8" s="1"/>
  <c r="H253" i="8" s="1"/>
  <c r="I253" i="8" s="1"/>
  <c r="C254" i="8" s="1"/>
  <c r="AA250" i="8"/>
  <c r="AB250" i="8" s="1"/>
  <c r="AC250" i="8"/>
  <c r="AD250" i="8" s="1"/>
  <c r="AE250" i="8"/>
  <c r="AF250" i="8" s="1"/>
  <c r="AG250" i="8" s="1"/>
  <c r="AA251" i="8" s="1"/>
  <c r="AB251" i="8" s="1"/>
  <c r="AC251" i="8" s="1"/>
  <c r="AD251" i="8" s="1"/>
  <c r="AE251" i="8" s="1"/>
  <c r="AF251" i="8" s="1"/>
  <c r="AG251" i="8" s="1"/>
  <c r="AA252" i="8" s="1"/>
  <c r="AB252" i="8" s="1"/>
  <c r="AC252" i="8" s="1"/>
  <c r="AD252" i="8" s="1"/>
  <c r="AE252" i="8" s="1"/>
  <c r="AF252" i="8" s="1"/>
  <c r="AG252" i="8" s="1"/>
  <c r="AA253" i="8" s="1"/>
  <c r="AB253" i="8" s="1"/>
  <c r="AC253" i="8" s="1"/>
  <c r="AD253" i="8" s="1"/>
  <c r="AE253" i="8" s="1"/>
  <c r="AF253" i="8" s="1"/>
  <c r="AI256" i="8"/>
  <c r="AI257" i="8"/>
  <c r="AI258" i="8"/>
  <c r="AJ258" i="8"/>
  <c r="F265" i="8"/>
  <c r="G265" i="8" s="1"/>
  <c r="H265" i="8" s="1"/>
  <c r="I265" i="8" s="1"/>
  <c r="C266" i="8" s="1"/>
  <c r="D266" i="8" s="1"/>
  <c r="E266" i="8" s="1"/>
  <c r="F266" i="8" s="1"/>
  <c r="G266" i="8" s="1"/>
  <c r="H266" i="8" s="1"/>
  <c r="I266" i="8" s="1"/>
  <c r="C267" i="8" s="1"/>
  <c r="D267" i="8" s="1"/>
  <c r="E267" i="8" s="1"/>
  <c r="F267" i="8" s="1"/>
  <c r="G267" i="8" s="1"/>
  <c r="H267" i="8" s="1"/>
  <c r="I267" i="8" s="1"/>
  <c r="C268" i="8" s="1"/>
  <c r="D268" i="8" s="1"/>
  <c r="E268" i="8" s="1"/>
  <c r="F268" i="8" s="1"/>
  <c r="G268" i="8" s="1"/>
  <c r="H268" i="8" s="1"/>
  <c r="I268" i="8" s="1"/>
  <c r="C269" i="8" s="1"/>
  <c r="D269" i="8" s="1"/>
  <c r="E269" i="8" s="1"/>
  <c r="F269" i="8" s="1"/>
  <c r="G269" i="8" s="1"/>
  <c r="U265" i="8"/>
  <c r="O266" i="8" s="1"/>
  <c r="P266" i="8" s="1"/>
  <c r="Q266" i="8" s="1"/>
  <c r="R266" i="8" s="1"/>
  <c r="S266" i="8" s="1"/>
  <c r="T266" i="8" s="1"/>
  <c r="U266" i="8" s="1"/>
  <c r="O267" i="8" s="1"/>
  <c r="P267" i="8" s="1"/>
  <c r="Q267" i="8" s="1"/>
  <c r="R267" i="8" s="1"/>
  <c r="S267" i="8" s="1"/>
  <c r="T267" i="8" s="1"/>
  <c r="U267" i="8" s="1"/>
  <c r="O268" i="8" s="1"/>
  <c r="P268" i="8" s="1"/>
  <c r="Q268" i="8" s="1"/>
  <c r="R268" i="8" s="1"/>
  <c r="S268" i="8" s="1"/>
  <c r="T268" i="8" s="1"/>
  <c r="U268" i="8" s="1"/>
  <c r="AG265" i="8"/>
  <c r="AA266" i="8"/>
  <c r="AB266" i="8" s="1"/>
  <c r="AC266" i="8" s="1"/>
  <c r="AD266" i="8" s="1"/>
  <c r="AE266" i="8" s="1"/>
  <c r="AF266" i="8" s="1"/>
  <c r="AG266" i="8" s="1"/>
  <c r="AA267" i="8" s="1"/>
  <c r="AB267" i="8" s="1"/>
  <c r="AC267" i="8" s="1"/>
  <c r="AD267" i="8" s="1"/>
  <c r="AE267" i="8" s="1"/>
  <c r="AF267" i="8" s="1"/>
  <c r="AG267" i="8" s="1"/>
  <c r="AA268" i="8" s="1"/>
  <c r="AB268" i="8" s="1"/>
  <c r="AC268" i="8" s="1"/>
  <c r="AD268" i="8" s="1"/>
  <c r="AE268" i="8" s="1"/>
  <c r="AF268" i="8" s="1"/>
  <c r="AG268" i="8" s="1"/>
  <c r="AA269" i="8" s="1"/>
  <c r="AB269" i="8" s="1"/>
  <c r="AC269" i="8" s="1"/>
  <c r="E274" i="8"/>
  <c r="F274" i="8" s="1"/>
  <c r="G274" i="8" s="1"/>
  <c r="H274" i="8" s="1"/>
  <c r="I274" i="8" s="1"/>
  <c r="C275" i="8" s="1"/>
  <c r="D275" i="8" s="1"/>
  <c r="E275" i="8" s="1"/>
  <c r="F275" i="8" s="1"/>
  <c r="G275" i="8" s="1"/>
  <c r="H275" i="8" s="1"/>
  <c r="I275" i="8" s="1"/>
  <c r="C276" i="8" s="1"/>
  <c r="D276" i="8" s="1"/>
  <c r="E276" i="8" s="1"/>
  <c r="F276" i="8" s="1"/>
  <c r="G276" i="8" s="1"/>
  <c r="H276" i="8" s="1"/>
  <c r="I276" i="8" s="1"/>
  <c r="C277" i="8" s="1"/>
  <c r="D277" i="8" s="1"/>
  <c r="E277" i="8" s="1"/>
  <c r="F277" i="8" s="1"/>
  <c r="G277" i="8" s="1"/>
  <c r="H277" i="8" s="1"/>
  <c r="I277" i="8" s="1"/>
  <c r="C278" i="8" s="1"/>
  <c r="D278" i="8" s="1"/>
  <c r="E278" i="8" s="1"/>
  <c r="S274" i="8"/>
  <c r="T274" i="8"/>
  <c r="U274" i="8"/>
  <c r="P275" i="8"/>
  <c r="Q275" i="8" s="1"/>
  <c r="R275" i="8" s="1"/>
  <c r="S275" i="8" s="1"/>
  <c r="T275" i="8" s="1"/>
  <c r="U275" i="8" s="1"/>
  <c r="O276" i="8" s="1"/>
  <c r="P276" i="8" s="1"/>
  <c r="Q276" i="8" s="1"/>
  <c r="R276" i="8" s="1"/>
  <c r="S276" i="8" s="1"/>
  <c r="T276" i="8" s="1"/>
  <c r="U276" i="8" s="1"/>
  <c r="O277" i="8" s="1"/>
  <c r="P277" i="8" s="1"/>
  <c r="Q277" i="8" s="1"/>
  <c r="R277" i="8" s="1"/>
  <c r="S277" i="8" s="1"/>
  <c r="T277" i="8" s="1"/>
  <c r="U277" i="8" s="1"/>
  <c r="O278" i="8" s="1"/>
  <c r="P278" i="8" s="1"/>
  <c r="Q278" i="8" s="1"/>
  <c r="R278" i="8" s="1"/>
  <c r="S278" i="8" s="1"/>
  <c r="T278" i="8" s="1"/>
  <c r="AA275" i="8"/>
  <c r="AB275" i="8"/>
  <c r="AC275" i="8" s="1"/>
  <c r="AD275" i="8" s="1"/>
  <c r="AE275" i="8" s="1"/>
  <c r="AF275" i="8" s="1"/>
  <c r="AG275" i="8" s="1"/>
  <c r="AA276" i="8" s="1"/>
  <c r="AB276" i="8" s="1"/>
  <c r="AC276" i="8" s="1"/>
  <c r="AD276" i="8" s="1"/>
  <c r="AE276" i="8" s="1"/>
  <c r="AF276" i="8" s="1"/>
  <c r="AG276" i="8" s="1"/>
  <c r="AA277" i="8" s="1"/>
  <c r="AB277" i="8" s="1"/>
  <c r="AC277" i="8" s="1"/>
  <c r="AD277" i="8" s="1"/>
  <c r="AE277" i="8" s="1"/>
  <c r="AF277" i="8" s="1"/>
  <c r="AG277" i="8" s="1"/>
  <c r="AA278" i="8" s="1"/>
  <c r="AB278" i="8" s="1"/>
  <c r="AC278" i="8" s="1"/>
  <c r="AD278" i="8" s="1"/>
  <c r="D283" i="8"/>
  <c r="E283" i="8"/>
  <c r="F283" i="8" s="1"/>
  <c r="G283" i="8"/>
  <c r="H283" i="8" s="1"/>
  <c r="I283" i="8" s="1"/>
  <c r="C284" i="8" s="1"/>
  <c r="D284" i="8" s="1"/>
  <c r="E284" i="8" s="1"/>
  <c r="F284" i="8" s="1"/>
  <c r="G284" i="8" s="1"/>
  <c r="H284" i="8" s="1"/>
  <c r="I284" i="8" s="1"/>
  <c r="C285" i="8" s="1"/>
  <c r="D285" i="8" s="1"/>
  <c r="E285" i="8" s="1"/>
  <c r="F285" i="8" s="1"/>
  <c r="G285" i="8" s="1"/>
  <c r="H285" i="8" s="1"/>
  <c r="I285" i="8" s="1"/>
  <c r="C286" i="8" s="1"/>
  <c r="D286" i="8" s="1"/>
  <c r="E286" i="8" s="1"/>
  <c r="F286" i="8" s="1"/>
  <c r="G286" i="8" s="1"/>
  <c r="H286" i="8" s="1"/>
  <c r="I286" i="8" s="1"/>
  <c r="C287" i="8" s="1"/>
  <c r="D287" i="8" s="1"/>
  <c r="E287" i="8" s="1"/>
  <c r="F287" i="8" s="1"/>
  <c r="T283" i="8"/>
  <c r="U283" i="8" s="1"/>
  <c r="O284" i="8" s="1"/>
  <c r="P284" i="8" s="1"/>
  <c r="Q284" i="8" s="1"/>
  <c r="R284" i="8" s="1"/>
  <c r="S284" i="8" s="1"/>
  <c r="T284" i="8" s="1"/>
  <c r="U284" i="8" s="1"/>
  <c r="O285" i="8" s="1"/>
  <c r="P285" i="8" s="1"/>
  <c r="Q285" i="8" s="1"/>
  <c r="R285" i="8" s="1"/>
  <c r="S285" i="8" s="1"/>
  <c r="T285" i="8" s="1"/>
  <c r="U285" i="8" s="1"/>
  <c r="O286" i="8" s="1"/>
  <c r="P286" i="8" s="1"/>
  <c r="Q286" i="8" s="1"/>
  <c r="R286" i="8" s="1"/>
  <c r="S286" i="8" s="1"/>
  <c r="T286" i="8" s="1"/>
  <c r="U286" i="8" s="1"/>
  <c r="O287" i="8" s="1"/>
  <c r="P287" i="8" s="1"/>
  <c r="Q287" i="8" s="1"/>
  <c r="AB284" i="8"/>
  <c r="AC284" i="8" s="1"/>
  <c r="AD284" i="8" s="1"/>
  <c r="AE284" i="8"/>
  <c r="AF284" i="8" s="1"/>
  <c r="AG284" i="8" s="1"/>
  <c r="AA285" i="8" s="1"/>
  <c r="AB285" i="8" s="1"/>
  <c r="AC285" i="8" s="1"/>
  <c r="AD285" i="8" s="1"/>
  <c r="AE285" i="8" s="1"/>
  <c r="AF285" i="8" s="1"/>
  <c r="AG285" i="8" s="1"/>
  <c r="AA286" i="8" s="1"/>
  <c r="AB286" i="8" s="1"/>
  <c r="AC286" i="8" s="1"/>
  <c r="AD286" i="8" s="1"/>
  <c r="AE286" i="8" s="1"/>
  <c r="AF286" i="8" s="1"/>
  <c r="AG286" i="8" s="1"/>
  <c r="AA287" i="8" s="1"/>
  <c r="AB287" i="8" s="1"/>
  <c r="AC287" i="8" s="1"/>
  <c r="AD287" i="8" s="1"/>
  <c r="AE287" i="8" s="1"/>
  <c r="U292" i="8"/>
  <c r="O293" i="8"/>
  <c r="P293" i="8" s="1"/>
  <c r="Q293" i="8"/>
  <c r="R293" i="8" s="1"/>
  <c r="S293" i="8"/>
  <c r="T293" i="8" s="1"/>
  <c r="U293" i="8" s="1"/>
  <c r="O294" i="8" s="1"/>
  <c r="P294" i="8" s="1"/>
  <c r="Q294" i="8" s="1"/>
  <c r="R294" i="8" s="1"/>
  <c r="S294" i="8" s="1"/>
  <c r="T294" i="8" s="1"/>
  <c r="U294" i="8" s="1"/>
  <c r="O295" i="8" s="1"/>
  <c r="P295" i="8" s="1"/>
  <c r="Q295" i="8" s="1"/>
  <c r="R295" i="8" s="1"/>
  <c r="S295" i="8" s="1"/>
  <c r="T295" i="8" s="1"/>
  <c r="U295" i="8" s="1"/>
  <c r="O296" i="8" s="1"/>
  <c r="P296" i="8" s="1"/>
  <c r="Q296" i="8" s="1"/>
  <c r="F293" i="8"/>
  <c r="G293" i="8"/>
  <c r="H293" i="8" s="1"/>
  <c r="I293" i="8" s="1"/>
  <c r="C294" i="8" s="1"/>
  <c r="D294" i="8" s="1"/>
  <c r="E294" i="8" s="1"/>
  <c r="F294" i="8" s="1"/>
  <c r="G294" i="8" s="1"/>
  <c r="H294" i="8" s="1"/>
  <c r="I294" i="8" s="1"/>
  <c r="C295" i="8" s="1"/>
  <c r="D295" i="8" s="1"/>
  <c r="E295" i="8" s="1"/>
  <c r="F295" i="8" s="1"/>
  <c r="G295" i="8" s="1"/>
  <c r="H295" i="8" s="1"/>
  <c r="I295" i="8" s="1"/>
  <c r="C296" i="8" s="1"/>
  <c r="D296" i="8" s="1"/>
  <c r="E296" i="8" s="1"/>
  <c r="F296" i="8" s="1"/>
  <c r="G296" i="8" s="1"/>
  <c r="H296" i="8" s="1"/>
  <c r="I296" i="8" s="1"/>
  <c r="C297" i="8" s="1"/>
  <c r="AB293" i="8"/>
  <c r="AC293" i="8" s="1"/>
  <c r="AD293" i="8"/>
  <c r="AE293" i="8"/>
  <c r="AF293" i="8" s="1"/>
  <c r="AG293" i="8" s="1"/>
  <c r="AA294" i="8" s="1"/>
  <c r="AB294" i="8" s="1"/>
  <c r="AC294" i="8" s="1"/>
  <c r="AD294" i="8" s="1"/>
  <c r="AE294" i="8" s="1"/>
  <c r="AF294" i="8" s="1"/>
  <c r="AG294" i="8" s="1"/>
  <c r="AA295" i="8" s="1"/>
  <c r="AB295" i="8" s="1"/>
  <c r="AC295" i="8" s="1"/>
  <c r="AD295" i="8" s="1"/>
  <c r="AE295" i="8" s="1"/>
  <c r="AF295" i="8" s="1"/>
  <c r="AG295" i="8" s="1"/>
  <c r="AA296" i="8" s="1"/>
  <c r="AB296" i="8" s="1"/>
  <c r="AC296" i="8" s="1"/>
  <c r="AD296" i="8" s="1"/>
  <c r="AE296" i="8" s="1"/>
  <c r="AF296" i="8" s="1"/>
  <c r="AI299" i="8"/>
  <c r="AI300" i="8"/>
  <c r="AI301" i="8"/>
  <c r="AJ301" i="8" s="1"/>
  <c r="G308" i="8"/>
  <c r="H308" i="8"/>
  <c r="I308" i="8" s="1"/>
  <c r="C309" i="8" s="1"/>
  <c r="D309" i="8" s="1"/>
  <c r="E309" i="8" s="1"/>
  <c r="F309" i="8" s="1"/>
  <c r="G309" i="8" s="1"/>
  <c r="H309" i="8" s="1"/>
  <c r="I309" i="8" s="1"/>
  <c r="C310" i="8" s="1"/>
  <c r="D310" i="8" s="1"/>
  <c r="E310" i="8" s="1"/>
  <c r="F310" i="8" s="1"/>
  <c r="G310" i="8" s="1"/>
  <c r="H310" i="8" s="1"/>
  <c r="I310" i="8" s="1"/>
  <c r="C311" i="8" s="1"/>
  <c r="D311" i="8" s="1"/>
  <c r="E311" i="8" s="1"/>
  <c r="F311" i="8" s="1"/>
  <c r="G311" i="8" s="1"/>
  <c r="H311" i="8" s="1"/>
  <c r="I311" i="8" s="1"/>
  <c r="C312" i="8" s="1"/>
  <c r="D312" i="8" s="1"/>
  <c r="E312" i="8" s="1"/>
  <c r="F312" i="8" s="1"/>
  <c r="G312" i="8" s="1"/>
  <c r="H312" i="8" s="1"/>
  <c r="O309" i="8"/>
  <c r="P309" i="8" s="1"/>
  <c r="Q309" i="8"/>
  <c r="R309" i="8"/>
  <c r="S309" i="8" s="1"/>
  <c r="T309" i="8" s="1"/>
  <c r="U309" i="8" s="1"/>
  <c r="O310" i="8" s="1"/>
  <c r="P310" i="8" s="1"/>
  <c r="Q310" i="8" s="1"/>
  <c r="R310" i="8" s="1"/>
  <c r="S310" i="8" s="1"/>
  <c r="T310" i="8" s="1"/>
  <c r="U310" i="8" s="1"/>
  <c r="O311" i="8" s="1"/>
  <c r="P311" i="8" s="1"/>
  <c r="Q311" i="8" s="1"/>
  <c r="R311" i="8" s="1"/>
  <c r="S311" i="8" s="1"/>
  <c r="T311" i="8" s="1"/>
  <c r="U311" i="8" s="1"/>
  <c r="O312" i="8" s="1"/>
  <c r="P312" i="8" s="1"/>
  <c r="Q312" i="8" s="1"/>
  <c r="R312" i="8" s="1"/>
  <c r="S312" i="8" s="1"/>
  <c r="T312" i="8" s="1"/>
  <c r="AA309" i="8"/>
  <c r="AB309" i="8"/>
  <c r="AC309" i="8" s="1"/>
  <c r="AD309" i="8"/>
  <c r="AE309" i="8" s="1"/>
  <c r="AF309" i="8" s="1"/>
  <c r="AG309" i="8" s="1"/>
  <c r="AA310" i="8" s="1"/>
  <c r="AB310" i="8" s="1"/>
  <c r="AC310" i="8" s="1"/>
  <c r="AD310" i="8" s="1"/>
  <c r="AE310" i="8" s="1"/>
  <c r="AF310" i="8" s="1"/>
  <c r="AG310" i="8" s="1"/>
  <c r="AA311" i="8" s="1"/>
  <c r="AB311" i="8" s="1"/>
  <c r="AC311" i="8" s="1"/>
  <c r="AD311" i="8" s="1"/>
  <c r="AE311" i="8" s="1"/>
  <c r="AF311" i="8" s="1"/>
  <c r="AG311" i="8" s="1"/>
  <c r="AA312" i="8" s="1"/>
  <c r="AB312" i="8" s="1"/>
  <c r="AC312" i="8" s="1"/>
  <c r="AD312" i="8" s="1"/>
  <c r="AE312" i="8" s="1"/>
  <c r="AF312" i="8" s="1"/>
  <c r="AG312" i="8" s="1"/>
  <c r="AA313" i="8" s="1"/>
  <c r="AB313" i="8" s="1"/>
  <c r="F317" i="8"/>
  <c r="G317" i="8"/>
  <c r="H317" i="8"/>
  <c r="I317" i="8"/>
  <c r="C318" i="8" s="1"/>
  <c r="D318" i="8" s="1"/>
  <c r="E318" i="8" s="1"/>
  <c r="F318" i="8" s="1"/>
  <c r="G318" i="8" s="1"/>
  <c r="H318" i="8" s="1"/>
  <c r="I318" i="8" s="1"/>
  <c r="C319" i="8" s="1"/>
  <c r="D319" i="8" s="1"/>
  <c r="E319" i="8" s="1"/>
  <c r="F319" i="8" s="1"/>
  <c r="G319" i="8" s="1"/>
  <c r="H319" i="8" s="1"/>
  <c r="I319" i="8" s="1"/>
  <c r="C320" i="8" s="1"/>
  <c r="D320" i="8" s="1"/>
  <c r="E320" i="8" s="1"/>
  <c r="F320" i="8" s="1"/>
  <c r="G320" i="8" s="1"/>
  <c r="H320" i="8" s="1"/>
  <c r="I320" i="8" s="1"/>
  <c r="C321" i="8" s="1"/>
  <c r="D321" i="8" s="1"/>
  <c r="E321" i="8" s="1"/>
  <c r="F321" i="8" s="1"/>
  <c r="T317" i="8"/>
  <c r="U317" i="8"/>
  <c r="AB317" i="8"/>
  <c r="AC317" i="8" s="1"/>
  <c r="AD317" i="8" s="1"/>
  <c r="AE317" i="8" s="1"/>
  <c r="AF317" i="8" s="1"/>
  <c r="AG317" i="8" s="1"/>
  <c r="AA318" i="8" s="1"/>
  <c r="AB318" i="8" s="1"/>
  <c r="AC318" i="8" s="1"/>
  <c r="AD318" i="8" s="1"/>
  <c r="AE318" i="8" s="1"/>
  <c r="AF318" i="8" s="1"/>
  <c r="AG318" i="8" s="1"/>
  <c r="AA319" i="8" s="1"/>
  <c r="AB319" i="8" s="1"/>
  <c r="AC319" i="8" s="1"/>
  <c r="AD319" i="8" s="1"/>
  <c r="AE319" i="8" s="1"/>
  <c r="AF319" i="8" s="1"/>
  <c r="AG319" i="8" s="1"/>
  <c r="AA320" i="8" s="1"/>
  <c r="AB320" i="8" s="1"/>
  <c r="AC320" i="8" s="1"/>
  <c r="AD320" i="8" s="1"/>
  <c r="AE320" i="8" s="1"/>
  <c r="AF320" i="8" s="1"/>
  <c r="AG320" i="8" s="1"/>
  <c r="AA321" i="8" s="1"/>
  <c r="AB321" i="8" s="1"/>
  <c r="P318" i="8"/>
  <c r="Q318" i="8"/>
  <c r="R318" i="8" s="1"/>
  <c r="S318" i="8" s="1"/>
  <c r="T318" i="8" s="1"/>
  <c r="U318" i="8" s="1"/>
  <c r="O319" i="8" s="1"/>
  <c r="P319" i="8" s="1"/>
  <c r="Q319" i="8" s="1"/>
  <c r="R319" i="8" s="1"/>
  <c r="S319" i="8" s="1"/>
  <c r="T319" i="8" s="1"/>
  <c r="U319" i="8" s="1"/>
  <c r="O320" i="8" s="1"/>
  <c r="P320" i="8" s="1"/>
  <c r="Q320" i="8" s="1"/>
  <c r="R320" i="8" s="1"/>
  <c r="S320" i="8" s="1"/>
  <c r="T320" i="8" s="1"/>
  <c r="U320" i="8" s="1"/>
  <c r="O321" i="8" s="1"/>
  <c r="P321" i="8" s="1"/>
  <c r="Q321" i="8" s="1"/>
  <c r="R321" i="8" s="1"/>
  <c r="S321" i="8" s="1"/>
  <c r="T321" i="8" s="1"/>
  <c r="U321" i="8" s="1"/>
  <c r="F326" i="8"/>
  <c r="G326" i="8" s="1"/>
  <c r="H326" i="8" s="1"/>
  <c r="I326" i="8" s="1"/>
  <c r="C327" i="8" s="1"/>
  <c r="D327" i="8" s="1"/>
  <c r="E327" i="8" s="1"/>
  <c r="F327" i="8" s="1"/>
  <c r="G327" i="8" s="1"/>
  <c r="H327" i="8" s="1"/>
  <c r="I327" i="8" s="1"/>
  <c r="C328" i="8" s="1"/>
  <c r="D328" i="8" s="1"/>
  <c r="E328" i="8" s="1"/>
  <c r="F328" i="8" s="1"/>
  <c r="G328" i="8" s="1"/>
  <c r="H328" i="8" s="1"/>
  <c r="I328" i="8" s="1"/>
  <c r="C329" i="8" s="1"/>
  <c r="D329" i="8" s="1"/>
  <c r="E329" i="8" s="1"/>
  <c r="F329" i="8" s="1"/>
  <c r="G329" i="8" s="1"/>
  <c r="H329" i="8" s="1"/>
  <c r="I329" i="8" s="1"/>
  <c r="C330" i="8" s="1"/>
  <c r="D330" i="8" s="1"/>
  <c r="E330" i="8" s="1"/>
  <c r="F330" i="8" s="1"/>
  <c r="G330" i="8" s="1"/>
  <c r="U326" i="8"/>
  <c r="AC326" i="8"/>
  <c r="AD326" i="8"/>
  <c r="AE326" i="8" s="1"/>
  <c r="AF326" i="8" s="1"/>
  <c r="AG326" i="8" s="1"/>
  <c r="AA327" i="8" s="1"/>
  <c r="AB327" i="8" s="1"/>
  <c r="AC327" i="8" s="1"/>
  <c r="AD327" i="8" s="1"/>
  <c r="AE327" i="8" s="1"/>
  <c r="AF327" i="8" s="1"/>
  <c r="AG327" i="8" s="1"/>
  <c r="AA328" i="8" s="1"/>
  <c r="AB328" i="8" s="1"/>
  <c r="AC328" i="8" s="1"/>
  <c r="AD328" i="8" s="1"/>
  <c r="AE328" i="8" s="1"/>
  <c r="AF328" i="8" s="1"/>
  <c r="AG328" i="8" s="1"/>
  <c r="AA329" i="8" s="1"/>
  <c r="AB329" i="8" s="1"/>
  <c r="AC329" i="8" s="1"/>
  <c r="AD329" i="8" s="1"/>
  <c r="AE329" i="8" s="1"/>
  <c r="AF329" i="8" s="1"/>
  <c r="AG329" i="8" s="1"/>
  <c r="AA330" i="8" s="1"/>
  <c r="AB330" i="8" s="1"/>
  <c r="AC330" i="8" s="1"/>
  <c r="O327" i="8"/>
  <c r="P327" i="8" s="1"/>
  <c r="Q327" i="8" s="1"/>
  <c r="R327" i="8" s="1"/>
  <c r="S327" i="8" s="1"/>
  <c r="T327" i="8" s="1"/>
  <c r="U327" i="8" s="1"/>
  <c r="O328" i="8" s="1"/>
  <c r="P328" i="8" s="1"/>
  <c r="Q328" i="8" s="1"/>
  <c r="R328" i="8" s="1"/>
  <c r="S328" i="8" s="1"/>
  <c r="T328" i="8" s="1"/>
  <c r="U328" i="8" s="1"/>
  <c r="O329" i="8" s="1"/>
  <c r="P329" i="8" s="1"/>
  <c r="Q329" i="8" s="1"/>
  <c r="R329" i="8" s="1"/>
  <c r="S329" i="8" s="1"/>
  <c r="T329" i="8" s="1"/>
  <c r="U329" i="8" s="1"/>
  <c r="O330" i="8" s="1"/>
  <c r="P330" i="8" s="1"/>
  <c r="Q330" i="8" s="1"/>
  <c r="R330" i="8" s="1"/>
  <c r="S330" i="8" s="1"/>
  <c r="T330" i="8" s="1"/>
  <c r="U330" i="8" s="1"/>
  <c r="O331" i="8" s="1"/>
  <c r="G335" i="8"/>
  <c r="H335" i="8"/>
  <c r="I335" i="8" s="1"/>
  <c r="C336" i="8" s="1"/>
  <c r="D336" i="8" s="1"/>
  <c r="E336" i="8" s="1"/>
  <c r="F336" i="8" s="1"/>
  <c r="G336" i="8" s="1"/>
  <c r="H336" i="8" s="1"/>
  <c r="I336" i="8" s="1"/>
  <c r="C337" i="8" s="1"/>
  <c r="D337" i="8" s="1"/>
  <c r="E337" i="8" s="1"/>
  <c r="F337" i="8" s="1"/>
  <c r="G337" i="8" s="1"/>
  <c r="H337" i="8" s="1"/>
  <c r="I337" i="8" s="1"/>
  <c r="C338" i="8" s="1"/>
  <c r="D338" i="8" s="1"/>
  <c r="E338" i="8" s="1"/>
  <c r="F338" i="8" s="1"/>
  <c r="G338" i="8" s="1"/>
  <c r="H338" i="8" s="1"/>
  <c r="I338" i="8" s="1"/>
  <c r="C339" i="8" s="1"/>
  <c r="D339" i="8" s="1"/>
  <c r="E339" i="8" s="1"/>
  <c r="F339" i="8" s="1"/>
  <c r="G339" i="8" s="1"/>
  <c r="H339" i="8" s="1"/>
  <c r="AC335" i="8"/>
  <c r="AD335" i="8"/>
  <c r="AE335" i="8" s="1"/>
  <c r="AF335" i="8"/>
  <c r="AG335" i="8" s="1"/>
  <c r="AA336" i="8" s="1"/>
  <c r="AB336" i="8" s="1"/>
  <c r="AC336" i="8" s="1"/>
  <c r="AD336" i="8" s="1"/>
  <c r="AE336" i="8" s="1"/>
  <c r="AF336" i="8" s="1"/>
  <c r="AG336" i="8" s="1"/>
  <c r="AA337" i="8" s="1"/>
  <c r="AB337" i="8" s="1"/>
  <c r="AC337" i="8" s="1"/>
  <c r="AD337" i="8" s="1"/>
  <c r="AE337" i="8" s="1"/>
  <c r="AF337" i="8" s="1"/>
  <c r="AG337" i="8" s="1"/>
  <c r="AA338" i="8" s="1"/>
  <c r="AB338" i="8" s="1"/>
  <c r="AC338" i="8" s="1"/>
  <c r="AD338" i="8" s="1"/>
  <c r="AE338" i="8" s="1"/>
  <c r="AF338" i="8" s="1"/>
  <c r="AG338" i="8" s="1"/>
  <c r="AA339" i="8" s="1"/>
  <c r="AB339" i="8" s="1"/>
  <c r="AC339" i="8" s="1"/>
  <c r="AD339" i="8" s="1"/>
  <c r="O336" i="8"/>
  <c r="P336" i="8"/>
  <c r="Q336" i="8"/>
  <c r="R336" i="8"/>
  <c r="S336" i="8" s="1"/>
  <c r="T336" i="8" s="1"/>
  <c r="U336" i="8" s="1"/>
  <c r="O337" i="8" s="1"/>
  <c r="P337" i="8" s="1"/>
  <c r="Q337" i="8" s="1"/>
  <c r="R337" i="8" s="1"/>
  <c r="S337" i="8" s="1"/>
  <c r="T337" i="8" s="1"/>
  <c r="U337" i="8" s="1"/>
  <c r="O338" i="8" s="1"/>
  <c r="P338" i="8" s="1"/>
  <c r="Q338" i="8" s="1"/>
  <c r="R338" i="8" s="1"/>
  <c r="S338" i="8" s="1"/>
  <c r="T338" i="8" s="1"/>
  <c r="U338" i="8" s="1"/>
  <c r="O339" i="8" s="1"/>
  <c r="P339" i="8" s="1"/>
  <c r="Q339" i="8" s="1"/>
  <c r="R339" i="8" s="1"/>
  <c r="S339" i="8" s="1"/>
  <c r="T339" i="8" s="1"/>
  <c r="U339" i="8" s="1"/>
  <c r="O340" i="8" s="1"/>
  <c r="AI342" i="8"/>
  <c r="AI343" i="8"/>
  <c r="AI344" i="8"/>
  <c r="AJ344" i="8" s="1"/>
  <c r="H351" i="8"/>
  <c r="I351" i="8"/>
  <c r="C352" i="8"/>
  <c r="D352" i="8" s="1"/>
  <c r="E352" i="8" s="1"/>
  <c r="F352" i="8" s="1"/>
  <c r="G352" i="8" s="1"/>
  <c r="H352" i="8" s="1"/>
  <c r="I352" i="8" s="1"/>
  <c r="C353" i="8" s="1"/>
  <c r="D353" i="8" s="1"/>
  <c r="E353" i="8" s="1"/>
  <c r="F353" i="8" s="1"/>
  <c r="G353" i="8" s="1"/>
  <c r="H353" i="8" s="1"/>
  <c r="I353" i="8" s="1"/>
  <c r="C354" i="8" s="1"/>
  <c r="D354" i="8" s="1"/>
  <c r="E354" i="8" s="1"/>
  <c r="F354" i="8" s="1"/>
  <c r="G354" i="8" s="1"/>
  <c r="H354" i="8" s="1"/>
  <c r="I354" i="8" s="1"/>
  <c r="C355" i="8" s="1"/>
  <c r="D355" i="8" s="1"/>
  <c r="E355" i="8" s="1"/>
  <c r="F355" i="8" s="1"/>
  <c r="G355" i="8" s="1"/>
  <c r="H355" i="8" s="1"/>
  <c r="I355" i="8" s="1"/>
  <c r="P351" i="8"/>
  <c r="Q351" i="8" s="1"/>
  <c r="R351" i="8" s="1"/>
  <c r="S351" i="8" s="1"/>
  <c r="T351" i="8" s="1"/>
  <c r="U351" i="8" s="1"/>
  <c r="O352" i="8" s="1"/>
  <c r="P352" i="8" s="1"/>
  <c r="Q352" i="8" s="1"/>
  <c r="R352" i="8" s="1"/>
  <c r="S352" i="8" s="1"/>
  <c r="T352" i="8" s="1"/>
  <c r="U352" i="8" s="1"/>
  <c r="O353" i="8" s="1"/>
  <c r="P353" i="8" s="1"/>
  <c r="Q353" i="8" s="1"/>
  <c r="R353" i="8" s="1"/>
  <c r="S353" i="8" s="1"/>
  <c r="T353" i="8" s="1"/>
  <c r="U353" i="8" s="1"/>
  <c r="O354" i="8" s="1"/>
  <c r="P354" i="8" s="1"/>
  <c r="Q354" i="8" s="1"/>
  <c r="R354" i="8" s="1"/>
  <c r="S354" i="8" s="1"/>
  <c r="T354" i="8" s="1"/>
  <c r="U354" i="8" s="1"/>
  <c r="AB351" i="8"/>
  <c r="AC351" i="8" s="1"/>
  <c r="AD351" i="8" s="1"/>
  <c r="AE351" i="8" s="1"/>
  <c r="AF351" i="8" s="1"/>
  <c r="AG351" i="8" s="1"/>
  <c r="AA352" i="8" s="1"/>
  <c r="AB352" i="8" s="1"/>
  <c r="AC352" i="8" s="1"/>
  <c r="AD352" i="8" s="1"/>
  <c r="AE352" i="8" s="1"/>
  <c r="AF352" i="8" s="1"/>
  <c r="AG352" i="8" s="1"/>
  <c r="AA353" i="8" s="1"/>
  <c r="AB353" i="8" s="1"/>
  <c r="AC353" i="8" s="1"/>
  <c r="AD353" i="8" s="1"/>
  <c r="AE353" i="8" s="1"/>
  <c r="AF353" i="8" s="1"/>
  <c r="AG353" i="8" s="1"/>
  <c r="AA354" i="8" s="1"/>
  <c r="AB354" i="8" s="1"/>
  <c r="AC354" i="8" s="1"/>
  <c r="AD354" i="8" s="1"/>
  <c r="AE354" i="8" s="1"/>
  <c r="AF354" i="8" s="1"/>
  <c r="AG354" i="8" s="1"/>
  <c r="AA355" i="8" s="1"/>
  <c r="AB355" i="8" s="1"/>
  <c r="AC355" i="8" s="1"/>
  <c r="F360" i="8"/>
  <c r="G360" i="8"/>
  <c r="H360" i="8" s="1"/>
  <c r="I360" i="8" s="1"/>
  <c r="C361" i="8" s="1"/>
  <c r="D361" i="8" s="1"/>
  <c r="E361" i="8" s="1"/>
  <c r="F361" i="8" s="1"/>
  <c r="G361" i="8" s="1"/>
  <c r="H361" i="8" s="1"/>
  <c r="I361" i="8" s="1"/>
  <c r="C362" i="8" s="1"/>
  <c r="D362" i="8" s="1"/>
  <c r="E362" i="8" s="1"/>
  <c r="F362" i="8" s="1"/>
  <c r="G362" i="8" s="1"/>
  <c r="H362" i="8" s="1"/>
  <c r="I362" i="8" s="1"/>
  <c r="C363" i="8" s="1"/>
  <c r="D363" i="8" s="1"/>
  <c r="E363" i="8" s="1"/>
  <c r="F363" i="8" s="1"/>
  <c r="G363" i="8" s="1"/>
  <c r="H363" i="8" s="1"/>
  <c r="I363" i="8" s="1"/>
  <c r="C364" i="8" s="1"/>
  <c r="D364" i="8" s="1"/>
  <c r="E364" i="8" s="1"/>
  <c r="F364" i="8" s="1"/>
  <c r="G364" i="8" s="1"/>
  <c r="T360" i="8"/>
  <c r="U360" i="8"/>
  <c r="O361" i="8" s="1"/>
  <c r="P361" i="8" s="1"/>
  <c r="Q361" i="8" s="1"/>
  <c r="R361" i="8" s="1"/>
  <c r="S361" i="8" s="1"/>
  <c r="T361" i="8" s="1"/>
  <c r="U361" i="8" s="1"/>
  <c r="O362" i="8" s="1"/>
  <c r="P362" i="8" s="1"/>
  <c r="Q362" i="8" s="1"/>
  <c r="R362" i="8" s="1"/>
  <c r="S362" i="8" s="1"/>
  <c r="T362" i="8" s="1"/>
  <c r="U362" i="8" s="1"/>
  <c r="O363" i="8" s="1"/>
  <c r="P363" i="8" s="1"/>
  <c r="Q363" i="8" s="1"/>
  <c r="R363" i="8" s="1"/>
  <c r="S363" i="8" s="1"/>
  <c r="T363" i="8" s="1"/>
  <c r="U363" i="8" s="1"/>
  <c r="O364" i="8" s="1"/>
  <c r="P364" i="8" s="1"/>
  <c r="Q364" i="8" s="1"/>
  <c r="R364" i="8" s="1"/>
  <c r="S364" i="8" s="1"/>
  <c r="T364" i="8" s="1"/>
  <c r="U364" i="8" s="1"/>
  <c r="O365" i="8" s="1"/>
  <c r="AB360" i="8"/>
  <c r="AC360" i="8"/>
  <c r="AD360" i="8"/>
  <c r="AE360" i="8" s="1"/>
  <c r="AF360" i="8" s="1"/>
  <c r="AG360" i="8" s="1"/>
  <c r="AA361" i="8" s="1"/>
  <c r="AB361" i="8" s="1"/>
  <c r="AC361" i="8" s="1"/>
  <c r="AD361" i="8" s="1"/>
  <c r="AE361" i="8" s="1"/>
  <c r="AF361" i="8" s="1"/>
  <c r="AG361" i="8" s="1"/>
  <c r="AA362" i="8" s="1"/>
  <c r="AB362" i="8" s="1"/>
  <c r="AC362" i="8" s="1"/>
  <c r="AD362" i="8" s="1"/>
  <c r="AE362" i="8" s="1"/>
  <c r="AF362" i="8" s="1"/>
  <c r="AG362" i="8" s="1"/>
  <c r="AA363" i="8" s="1"/>
  <c r="AB363" i="8" s="1"/>
  <c r="AC363" i="8" s="1"/>
  <c r="AD363" i="8" s="1"/>
  <c r="AE363" i="8" s="1"/>
  <c r="AF363" i="8" s="1"/>
  <c r="AG363" i="8" s="1"/>
  <c r="AA364" i="8" s="1"/>
  <c r="AB364" i="8" s="1"/>
  <c r="AC364" i="8" s="1"/>
  <c r="F369" i="8"/>
  <c r="G369" i="8" s="1"/>
  <c r="H369" i="8" s="1"/>
  <c r="I369" i="8" s="1"/>
  <c r="C370" i="8" s="1"/>
  <c r="D370" i="8" s="1"/>
  <c r="E370" i="8" s="1"/>
  <c r="F370" i="8" s="1"/>
  <c r="G370" i="8" s="1"/>
  <c r="H370" i="8" s="1"/>
  <c r="I370" i="8" s="1"/>
  <c r="C371" i="8" s="1"/>
  <c r="D371" i="8" s="1"/>
  <c r="E371" i="8" s="1"/>
  <c r="F371" i="8" s="1"/>
  <c r="G371" i="8" s="1"/>
  <c r="H371" i="8" s="1"/>
  <c r="I371" i="8" s="1"/>
  <c r="C372" i="8" s="1"/>
  <c r="D372" i="8" s="1"/>
  <c r="E372" i="8" s="1"/>
  <c r="F372" i="8" s="1"/>
  <c r="G372" i="8" s="1"/>
  <c r="H372" i="8" s="1"/>
  <c r="I372" i="8" s="1"/>
  <c r="C373" i="8" s="1"/>
  <c r="D373" i="8" s="1"/>
  <c r="E373" i="8" s="1"/>
  <c r="F373" i="8" s="1"/>
  <c r="G373" i="8" s="1"/>
  <c r="H373" i="8" s="1"/>
  <c r="U369" i="8"/>
  <c r="O370" i="8" s="1"/>
  <c r="P370" i="8" s="1"/>
  <c r="Q370" i="8" s="1"/>
  <c r="R370" i="8" s="1"/>
  <c r="S370" i="8" s="1"/>
  <c r="T370" i="8" s="1"/>
  <c r="U370" i="8" s="1"/>
  <c r="O371" i="8" s="1"/>
  <c r="P371" i="8" s="1"/>
  <c r="Q371" i="8" s="1"/>
  <c r="R371" i="8" s="1"/>
  <c r="S371" i="8" s="1"/>
  <c r="T371" i="8" s="1"/>
  <c r="U371" i="8" s="1"/>
  <c r="O372" i="8" s="1"/>
  <c r="P372" i="8" s="1"/>
  <c r="Q372" i="8" s="1"/>
  <c r="R372" i="8" s="1"/>
  <c r="S372" i="8" s="1"/>
  <c r="T372" i="8" s="1"/>
  <c r="U372" i="8" s="1"/>
  <c r="O373" i="8" s="1"/>
  <c r="P373" i="8" s="1"/>
  <c r="Q373" i="8" s="1"/>
  <c r="R373" i="8" s="1"/>
  <c r="S373" i="8" s="1"/>
  <c r="T373" i="8" s="1"/>
  <c r="U373" i="8" s="1"/>
  <c r="O374" i="8" s="1"/>
  <c r="P374" i="8" s="1"/>
  <c r="AD369" i="8"/>
  <c r="AE369" i="8" s="1"/>
  <c r="AF369" i="8" s="1"/>
  <c r="AG369" i="8" s="1"/>
  <c r="AA370" i="8" s="1"/>
  <c r="AB370" i="8" s="1"/>
  <c r="AC370" i="8" s="1"/>
  <c r="AD370" i="8" s="1"/>
  <c r="AE370" i="8" s="1"/>
  <c r="AF370" i="8" s="1"/>
  <c r="AG370" i="8" s="1"/>
  <c r="AA371" i="8" s="1"/>
  <c r="AB371" i="8" s="1"/>
  <c r="AC371" i="8" s="1"/>
  <c r="AD371" i="8" s="1"/>
  <c r="AE371" i="8" s="1"/>
  <c r="AF371" i="8" s="1"/>
  <c r="AG371" i="8" s="1"/>
  <c r="AA372" i="8" s="1"/>
  <c r="AB372" i="8" s="1"/>
  <c r="AC372" i="8" s="1"/>
  <c r="AD372" i="8" s="1"/>
  <c r="AE372" i="8" s="1"/>
  <c r="AF372" i="8" s="1"/>
  <c r="AG372" i="8" s="1"/>
  <c r="AA373" i="8" s="1"/>
  <c r="AB373" i="8" s="1"/>
  <c r="AC373" i="8" s="1"/>
  <c r="AD373" i="8" s="1"/>
  <c r="G378" i="8"/>
  <c r="H378" i="8" s="1"/>
  <c r="I378" i="8" s="1"/>
  <c r="C379" i="8" s="1"/>
  <c r="D379" i="8" s="1"/>
  <c r="E379" i="8" s="1"/>
  <c r="F379" i="8" s="1"/>
  <c r="G379" i="8" s="1"/>
  <c r="H379" i="8" s="1"/>
  <c r="I379" i="8" s="1"/>
  <c r="C380" i="8" s="1"/>
  <c r="D380" i="8" s="1"/>
  <c r="E380" i="8" s="1"/>
  <c r="F380" i="8" s="1"/>
  <c r="G380" i="8" s="1"/>
  <c r="H380" i="8" s="1"/>
  <c r="I380" i="8" s="1"/>
  <c r="C381" i="8" s="1"/>
  <c r="D381" i="8" s="1"/>
  <c r="E381" i="8" s="1"/>
  <c r="F381" i="8" s="1"/>
  <c r="G381" i="8" s="1"/>
  <c r="H381" i="8" s="1"/>
  <c r="I381" i="8" s="1"/>
  <c r="C382" i="8" s="1"/>
  <c r="D382" i="8" s="1"/>
  <c r="E382" i="8" s="1"/>
  <c r="F382" i="8" s="1"/>
  <c r="G382" i="8" s="1"/>
  <c r="H382" i="8" s="1"/>
  <c r="I382" i="8" s="1"/>
  <c r="P378" i="8"/>
  <c r="Q378" i="8" s="1"/>
  <c r="R378" i="8" s="1"/>
  <c r="S378" i="8" s="1"/>
  <c r="T378" i="8" s="1"/>
  <c r="U378" i="8" s="1"/>
  <c r="O379" i="8" s="1"/>
  <c r="P379" i="8" s="1"/>
  <c r="Q379" i="8" s="1"/>
  <c r="R379" i="8" s="1"/>
  <c r="S379" i="8" s="1"/>
  <c r="T379" i="8" s="1"/>
  <c r="U379" i="8" s="1"/>
  <c r="O380" i="8" s="1"/>
  <c r="P380" i="8" s="1"/>
  <c r="Q380" i="8" s="1"/>
  <c r="R380" i="8" s="1"/>
  <c r="S380" i="8" s="1"/>
  <c r="T380" i="8" s="1"/>
  <c r="U380" i="8" s="1"/>
  <c r="O381" i="8" s="1"/>
  <c r="P381" i="8" s="1"/>
  <c r="Q381" i="8" s="1"/>
  <c r="R381" i="8" s="1"/>
  <c r="S381" i="8" s="1"/>
  <c r="T381" i="8" s="1"/>
  <c r="U381" i="8" s="1"/>
  <c r="O382" i="8" s="1"/>
  <c r="P382" i="8" s="1"/>
  <c r="AC378" i="8"/>
  <c r="AD378" i="8"/>
  <c r="AE378" i="8" s="1"/>
  <c r="AF378" i="8"/>
  <c r="AG378" i="8" s="1"/>
  <c r="AA379" i="8" s="1"/>
  <c r="AB379" i="8" s="1"/>
  <c r="AC379" i="8" s="1"/>
  <c r="AD379" i="8" s="1"/>
  <c r="AE379" i="8" s="1"/>
  <c r="AF379" i="8" s="1"/>
  <c r="AG379" i="8" s="1"/>
  <c r="AA380" i="8" s="1"/>
  <c r="AB380" i="8" s="1"/>
  <c r="AC380" i="8" s="1"/>
  <c r="AD380" i="8" s="1"/>
  <c r="AE380" i="8" s="1"/>
  <c r="AF380" i="8" s="1"/>
  <c r="AG380" i="8" s="1"/>
  <c r="AA381" i="8" s="1"/>
  <c r="AB381" i="8" s="1"/>
  <c r="AC381" i="8" s="1"/>
  <c r="AD381" i="8" s="1"/>
  <c r="AE381" i="8" s="1"/>
  <c r="AF381" i="8" s="1"/>
  <c r="AG381" i="8" s="1"/>
  <c r="AA382" i="8" s="1"/>
  <c r="AB382" i="8" s="1"/>
  <c r="AC382" i="8" s="1"/>
  <c r="AD382" i="8" s="1"/>
  <c r="AE382" i="8" s="1"/>
  <c r="AI385" i="8"/>
  <c r="AI386" i="8"/>
  <c r="AI387" i="8"/>
  <c r="AJ387" i="8" s="1"/>
  <c r="I394" i="8"/>
  <c r="C395" i="8" s="1"/>
  <c r="D395" i="8" s="1"/>
  <c r="E395" i="8" s="1"/>
  <c r="F395" i="8" s="1"/>
  <c r="G395" i="8" s="1"/>
  <c r="Q394" i="8"/>
  <c r="R394" i="8" s="1"/>
  <c r="S394" i="8" s="1"/>
  <c r="T394" i="8" s="1"/>
  <c r="U394" i="8" s="1"/>
  <c r="O395" i="8" s="1"/>
  <c r="P395" i="8" s="1"/>
  <c r="Q395" i="8" s="1"/>
  <c r="R395" i="8" s="1"/>
  <c r="S395" i="8" s="1"/>
  <c r="T395" i="8" s="1"/>
  <c r="U395" i="8" s="1"/>
  <c r="O396" i="8" s="1"/>
  <c r="P396" i="8" s="1"/>
  <c r="Q396" i="8" s="1"/>
  <c r="R396" i="8" s="1"/>
  <c r="S396" i="8" s="1"/>
  <c r="T396" i="8" s="1"/>
  <c r="U396" i="8" s="1"/>
  <c r="O397" i="8" s="1"/>
  <c r="P397" i="8" s="1"/>
  <c r="Q397" i="8" s="1"/>
  <c r="R397" i="8" s="1"/>
  <c r="S397" i="8" s="1"/>
  <c r="T397" i="8" s="1"/>
  <c r="U397" i="8" s="1"/>
  <c r="O398" i="8" s="1"/>
  <c r="P398" i="8" s="1"/>
  <c r="AD394" i="8"/>
  <c r="AE394" i="8"/>
  <c r="AF394" i="8" s="1"/>
  <c r="AG394" i="8"/>
  <c r="AA395" i="8" s="1"/>
  <c r="AB395" i="8" s="1"/>
  <c r="AC395" i="8" s="1"/>
  <c r="AD395" i="8" s="1"/>
  <c r="AE395" i="8" s="1"/>
  <c r="AF395" i="8" s="1"/>
  <c r="AG395" i="8" s="1"/>
  <c r="AA396" i="8" s="1"/>
  <c r="AB396" i="8" s="1"/>
  <c r="AC396" i="8" s="1"/>
  <c r="AD396" i="8" s="1"/>
  <c r="AE396" i="8" s="1"/>
  <c r="AF396" i="8" s="1"/>
  <c r="AG396" i="8" s="1"/>
  <c r="AA397" i="8" s="1"/>
  <c r="AB397" i="8" s="1"/>
  <c r="AC397" i="8" s="1"/>
  <c r="AD397" i="8" s="1"/>
  <c r="AE397" i="8" s="1"/>
  <c r="AF397" i="8" s="1"/>
  <c r="AG397" i="8" s="1"/>
  <c r="AA398" i="8" s="1"/>
  <c r="AB398" i="8" s="1"/>
  <c r="AC398" i="8" s="1"/>
  <c r="AD398" i="8" s="1"/>
  <c r="AE398" i="8" s="1"/>
  <c r="H395" i="8"/>
  <c r="I395" i="8" s="1"/>
  <c r="C396" i="8" s="1"/>
  <c r="D396" i="8" s="1"/>
  <c r="E396" i="8" s="1"/>
  <c r="F396" i="8" s="1"/>
  <c r="G396" i="8" s="1"/>
  <c r="H396" i="8" s="1"/>
  <c r="I396" i="8" s="1"/>
  <c r="C397" i="8" s="1"/>
  <c r="D397" i="8" s="1"/>
  <c r="E397" i="8" s="1"/>
  <c r="F397" i="8" s="1"/>
  <c r="G397" i="8" s="1"/>
  <c r="H397" i="8" s="1"/>
  <c r="I397" i="8" s="1"/>
  <c r="C398" i="8" s="1"/>
  <c r="D398" i="8" s="1"/>
  <c r="E398" i="8" s="1"/>
  <c r="F398" i="8" s="1"/>
  <c r="G398" i="8" s="1"/>
  <c r="H398" i="8" s="1"/>
  <c r="I398" i="8" s="1"/>
  <c r="C399" i="8" s="1"/>
  <c r="I403" i="8"/>
  <c r="P403" i="8"/>
  <c r="Q403" i="8"/>
  <c r="R403" i="8" s="1"/>
  <c r="S403" i="8" s="1"/>
  <c r="T403" i="8" s="1"/>
  <c r="U403" i="8" s="1"/>
  <c r="O404" i="8" s="1"/>
  <c r="P404" i="8"/>
  <c r="Q404" i="8" s="1"/>
  <c r="R404" i="8" s="1"/>
  <c r="S404" i="8" s="1"/>
  <c r="T404" i="8" s="1"/>
  <c r="U404" i="8" s="1"/>
  <c r="O405" i="8" s="1"/>
  <c r="P405" i="8" s="1"/>
  <c r="Q405" i="8" s="1"/>
  <c r="R405" i="8" s="1"/>
  <c r="S405" i="8" s="1"/>
  <c r="T405" i="8" s="1"/>
  <c r="U405" i="8" s="1"/>
  <c r="O406" i="8" s="1"/>
  <c r="P406" i="8" s="1"/>
  <c r="Q406" i="8" s="1"/>
  <c r="R406" i="8" s="1"/>
  <c r="S406" i="8" s="1"/>
  <c r="T406" i="8" s="1"/>
  <c r="U406" i="8" s="1"/>
  <c r="O407" i="8" s="1"/>
  <c r="P407" i="8" s="1"/>
  <c r="Q407" i="8" s="1"/>
  <c r="AE403" i="8"/>
  <c r="AF403" i="8"/>
  <c r="AG403" i="8"/>
  <c r="AA404" i="8" s="1"/>
  <c r="AB404" i="8" s="1"/>
  <c r="AC404" i="8" s="1"/>
  <c r="AD404" i="8" s="1"/>
  <c r="AE404" i="8"/>
  <c r="AF404" i="8" s="1"/>
  <c r="AG404" i="8" s="1"/>
  <c r="AA405" i="8" s="1"/>
  <c r="AB405" i="8" s="1"/>
  <c r="AC405" i="8" s="1"/>
  <c r="AD405" i="8" s="1"/>
  <c r="AE405" i="8" s="1"/>
  <c r="AF405" i="8" s="1"/>
  <c r="AG405" i="8" s="1"/>
  <c r="AA406" i="8" s="1"/>
  <c r="AB406" i="8" s="1"/>
  <c r="AC406" i="8" s="1"/>
  <c r="AD406" i="8" s="1"/>
  <c r="AE406" i="8" s="1"/>
  <c r="AF406" i="8" s="1"/>
  <c r="AG406" i="8" s="1"/>
  <c r="AA407" i="8" s="1"/>
  <c r="AB407" i="8" s="1"/>
  <c r="AC407" i="8" s="1"/>
  <c r="AD407" i="8" s="1"/>
  <c r="AE407" i="8" s="1"/>
  <c r="C404" i="8"/>
  <c r="D404" i="8" s="1"/>
  <c r="E404" i="8" s="1"/>
  <c r="F404" i="8" s="1"/>
  <c r="G404" i="8" s="1"/>
  <c r="H404" i="8" s="1"/>
  <c r="I404" i="8" s="1"/>
  <c r="C405" i="8" s="1"/>
  <c r="D405" i="8" s="1"/>
  <c r="E405" i="8" s="1"/>
  <c r="F405" i="8" s="1"/>
  <c r="G405" i="8" s="1"/>
  <c r="H405" i="8" s="1"/>
  <c r="I405" i="8" s="1"/>
  <c r="C406" i="8" s="1"/>
  <c r="D406" i="8" s="1"/>
  <c r="E406" i="8" s="1"/>
  <c r="F406" i="8" s="1"/>
  <c r="G406" i="8" s="1"/>
  <c r="H406" i="8" s="1"/>
  <c r="I406" i="8" s="1"/>
  <c r="C407" i="8" s="1"/>
  <c r="D407" i="8" s="1"/>
  <c r="E407" i="8" s="1"/>
  <c r="F407" i="8" s="1"/>
  <c r="G407" i="8" s="1"/>
  <c r="H407" i="8" s="1"/>
  <c r="I407" i="8" s="1"/>
  <c r="I412" i="8"/>
  <c r="C413" i="8" s="1"/>
  <c r="Q412" i="8"/>
  <c r="R412" i="8"/>
  <c r="S412" i="8" s="1"/>
  <c r="T412" i="8"/>
  <c r="U412" i="8" s="1"/>
  <c r="O413" i="8" s="1"/>
  <c r="P413" i="8" s="1"/>
  <c r="Q413" i="8" s="1"/>
  <c r="R413" i="8"/>
  <c r="S413" i="8"/>
  <c r="T413" i="8" s="1"/>
  <c r="U413" i="8" s="1"/>
  <c r="O414" i="8" s="1"/>
  <c r="P414" i="8"/>
  <c r="Q414" i="8" s="1"/>
  <c r="R414" i="8" s="1"/>
  <c r="S414" i="8" s="1"/>
  <c r="T414" i="8" s="1"/>
  <c r="U414" i="8" s="1"/>
  <c r="O415" i="8" s="1"/>
  <c r="P415" i="8" s="1"/>
  <c r="Q415" i="8" s="1"/>
  <c r="R415" i="8" s="1"/>
  <c r="S415" i="8" s="1"/>
  <c r="T415" i="8" s="1"/>
  <c r="U415" i="8" s="1"/>
  <c r="O416" i="8" s="1"/>
  <c r="P416" i="8" s="1"/>
  <c r="Q416" i="8" s="1"/>
  <c r="R416" i="8" s="1"/>
  <c r="AF412" i="8"/>
  <c r="AG412" i="8"/>
  <c r="AA413" i="8"/>
  <c r="AB413" i="8"/>
  <c r="AC413" i="8" s="1"/>
  <c r="AD413" i="8"/>
  <c r="AE413" i="8" s="1"/>
  <c r="AF413" i="8" s="1"/>
  <c r="AG413" i="8" s="1"/>
  <c r="AA414" i="8"/>
  <c r="AB414" i="8" s="1"/>
  <c r="AC414" i="8" s="1"/>
  <c r="AD414" i="8" s="1"/>
  <c r="AE414" i="8" s="1"/>
  <c r="AF414" i="8" s="1"/>
  <c r="AG414" i="8" s="1"/>
  <c r="AA415" i="8" s="1"/>
  <c r="AB415" i="8" s="1"/>
  <c r="AC415" i="8" s="1"/>
  <c r="AD415" i="8" s="1"/>
  <c r="AE415" i="8" s="1"/>
  <c r="AF415" i="8" s="1"/>
  <c r="AG415" i="8" s="1"/>
  <c r="AA416" i="8" s="1"/>
  <c r="AB416" i="8" s="1"/>
  <c r="AC416" i="8" s="1"/>
  <c r="AD416" i="8" s="1"/>
  <c r="AE416" i="8" s="1"/>
  <c r="AF416" i="8" s="1"/>
  <c r="D413" i="8"/>
  <c r="E413" i="8" s="1"/>
  <c r="F413" i="8" s="1"/>
  <c r="G413" i="8" s="1"/>
  <c r="H413" i="8" s="1"/>
  <c r="I413" i="8" s="1"/>
  <c r="C414" i="8" s="1"/>
  <c r="D414" i="8" s="1"/>
  <c r="E414" i="8" s="1"/>
  <c r="F414" i="8" s="1"/>
  <c r="G414" i="8" s="1"/>
  <c r="H414" i="8" s="1"/>
  <c r="I414" i="8" s="1"/>
  <c r="C415" i="8" s="1"/>
  <c r="D415" i="8" s="1"/>
  <c r="E415" i="8" s="1"/>
  <c r="F415" i="8" s="1"/>
  <c r="G415" i="8" s="1"/>
  <c r="H415" i="8" s="1"/>
  <c r="I415" i="8" s="1"/>
  <c r="C416" i="8" s="1"/>
  <c r="D416" i="8" s="1"/>
  <c r="E416" i="8" s="1"/>
  <c r="F416" i="8" s="1"/>
  <c r="G416" i="8" s="1"/>
  <c r="H416" i="8" s="1"/>
  <c r="I416" i="8" s="1"/>
  <c r="C417" i="8" s="1"/>
  <c r="R421" i="8"/>
  <c r="S421" i="8" s="1"/>
  <c r="T421" i="8" s="1"/>
  <c r="U421" i="8" s="1"/>
  <c r="O422" i="8"/>
  <c r="P422" i="8" s="1"/>
  <c r="Q422" i="8" s="1"/>
  <c r="R422" i="8" s="1"/>
  <c r="S422" i="8" s="1"/>
  <c r="T422" i="8" s="1"/>
  <c r="U422" i="8" s="1"/>
  <c r="O423" i="8" s="1"/>
  <c r="P423" i="8" s="1"/>
  <c r="Q423" i="8" s="1"/>
  <c r="R423" i="8" s="1"/>
  <c r="S423" i="8" s="1"/>
  <c r="T423" i="8" s="1"/>
  <c r="U423" i="8" s="1"/>
  <c r="O424" i="8" s="1"/>
  <c r="P424" i="8" s="1"/>
  <c r="Q424" i="8" s="1"/>
  <c r="R424" i="8" s="1"/>
  <c r="S424" i="8" s="1"/>
  <c r="T424" i="8" s="1"/>
  <c r="U424" i="8" s="1"/>
  <c r="O425" i="8" s="1"/>
  <c r="P425" i="8" s="1"/>
  <c r="Q425" i="8" s="1"/>
  <c r="R425" i="8" s="1"/>
  <c r="AF421" i="8"/>
  <c r="AG421" i="8" s="1"/>
  <c r="AA422" i="8"/>
  <c r="AB422" i="8"/>
  <c r="AC422" i="8" s="1"/>
  <c r="AD422" i="8" s="1"/>
  <c r="AE422" i="8" s="1"/>
  <c r="AF422" i="8" s="1"/>
  <c r="AG422" i="8" s="1"/>
  <c r="AA423" i="8" s="1"/>
  <c r="AB423" i="8" s="1"/>
  <c r="AC423" i="8" s="1"/>
  <c r="AD423" i="8" s="1"/>
  <c r="AE423" i="8" s="1"/>
  <c r="AF423" i="8" s="1"/>
  <c r="AG423" i="8" s="1"/>
  <c r="AA424" i="8" s="1"/>
  <c r="AB424" i="8" s="1"/>
  <c r="AC424" i="8" s="1"/>
  <c r="AD424" i="8" s="1"/>
  <c r="AE424" i="8" s="1"/>
  <c r="AF424" i="8" s="1"/>
  <c r="AG424" i="8" s="1"/>
  <c r="AA425" i="8" s="1"/>
  <c r="AB425" i="8" s="1"/>
  <c r="AC425" i="8" s="1"/>
  <c r="AD425" i="8" s="1"/>
  <c r="AE425" i="8" s="1"/>
  <c r="AF425" i="8" s="1"/>
  <c r="AG425" i="8" s="1"/>
  <c r="C422" i="8"/>
  <c r="D422" i="8"/>
  <c r="E422" i="8"/>
  <c r="F422" i="8"/>
  <c r="G422" i="8" s="1"/>
  <c r="H422" i="8" s="1"/>
  <c r="I422" i="8"/>
  <c r="C423" i="8"/>
  <c r="D423" i="8" s="1"/>
  <c r="E423" i="8" s="1"/>
  <c r="F423" i="8" s="1"/>
  <c r="G423" i="8" s="1"/>
  <c r="H423" i="8" s="1"/>
  <c r="I423" i="8" s="1"/>
  <c r="C424" i="8" s="1"/>
  <c r="D424" i="8" s="1"/>
  <c r="E424" i="8" s="1"/>
  <c r="F424" i="8" s="1"/>
  <c r="G424" i="8" s="1"/>
  <c r="H424" i="8" s="1"/>
  <c r="I424" i="8" s="1"/>
  <c r="C425" i="8" s="1"/>
  <c r="D425" i="8" s="1"/>
  <c r="E425" i="8" s="1"/>
  <c r="F425" i="8" s="1"/>
  <c r="G425" i="8" s="1"/>
  <c r="H425" i="8" s="1"/>
  <c r="I425" i="8" s="1"/>
  <c r="C426" i="8" s="1"/>
  <c r="D426" i="8" s="1"/>
  <c r="AI428" i="8"/>
  <c r="J31" i="6"/>
  <c r="AI429" i="8"/>
  <c r="I31" i="6"/>
  <c r="AI430" i="8"/>
  <c r="AJ430" i="8" s="1"/>
  <c r="F31" i="6"/>
  <c r="C437" i="8"/>
  <c r="D437" i="8"/>
  <c r="E437" i="8"/>
  <c r="F437" i="8" s="1"/>
  <c r="G437" i="8"/>
  <c r="H437" i="8" s="1"/>
  <c r="I437" i="8" s="1"/>
  <c r="C438" i="8" s="1"/>
  <c r="D438" i="8" s="1"/>
  <c r="E438" i="8" s="1"/>
  <c r="F438" i="8" s="1"/>
  <c r="G438" i="8" s="1"/>
  <c r="H438" i="8" s="1"/>
  <c r="I438" i="8" s="1"/>
  <c r="C439" i="8" s="1"/>
  <c r="D439" i="8" s="1"/>
  <c r="E439" i="8" s="1"/>
  <c r="F439" i="8" s="1"/>
  <c r="G439" i="8" s="1"/>
  <c r="H439" i="8" s="1"/>
  <c r="I439" i="8" s="1"/>
  <c r="C440" i="8" s="1"/>
  <c r="D440" i="8" s="1"/>
  <c r="E440" i="8" s="1"/>
  <c r="F440" i="8" s="1"/>
  <c r="G440" i="8" s="1"/>
  <c r="H440" i="8" s="1"/>
  <c r="I440" i="8" s="1"/>
  <c r="C441" i="8" s="1"/>
  <c r="D441" i="8" s="1"/>
  <c r="E441" i="8" s="1"/>
  <c r="R437" i="8"/>
  <c r="S437" i="8"/>
  <c r="T437" i="8"/>
  <c r="U437" i="8"/>
  <c r="O438" i="8" s="1"/>
  <c r="P438" i="8" s="1"/>
  <c r="Q438" i="8" s="1"/>
  <c r="R438" i="8" s="1"/>
  <c r="S438" i="8" s="1"/>
  <c r="T438" i="8" s="1"/>
  <c r="U438" i="8" s="1"/>
  <c r="O439" i="8" s="1"/>
  <c r="P439" i="8" s="1"/>
  <c r="Q439" i="8" s="1"/>
  <c r="R439" i="8" s="1"/>
  <c r="S439" i="8" s="1"/>
  <c r="T439" i="8" s="1"/>
  <c r="U439" i="8" s="1"/>
  <c r="O440" i="8" s="1"/>
  <c r="P440" i="8" s="1"/>
  <c r="Q440" i="8" s="1"/>
  <c r="R440" i="8" s="1"/>
  <c r="S440" i="8" s="1"/>
  <c r="T440" i="8" s="1"/>
  <c r="U440" i="8" s="1"/>
  <c r="O441" i="8" s="1"/>
  <c r="P441" i="8" s="1"/>
  <c r="Q441" i="8" s="1"/>
  <c r="AE437" i="8"/>
  <c r="AF437" i="8"/>
  <c r="AG437" i="8" s="1"/>
  <c r="AA438" i="8" s="1"/>
  <c r="AB438" i="8" s="1"/>
  <c r="AC438" i="8" s="1"/>
  <c r="AD438" i="8" s="1"/>
  <c r="AE438" i="8" s="1"/>
  <c r="AF438" i="8" s="1"/>
  <c r="AG438" i="8" s="1"/>
  <c r="AA439" i="8" s="1"/>
  <c r="AB439" i="8" s="1"/>
  <c r="AC439" i="8" s="1"/>
  <c r="AD439" i="8" s="1"/>
  <c r="AE439" i="8" s="1"/>
  <c r="AF439" i="8" s="1"/>
  <c r="AG439" i="8" s="1"/>
  <c r="AA440" i="8" s="1"/>
  <c r="AB440" i="8" s="1"/>
  <c r="AC440" i="8" s="1"/>
  <c r="AD440" i="8" s="1"/>
  <c r="AE440" i="8" s="1"/>
  <c r="AF440" i="8" s="1"/>
  <c r="AG440" i="8" s="1"/>
  <c r="AA441" i="8" s="1"/>
  <c r="AB441" i="8" s="1"/>
  <c r="AC441" i="8" s="1"/>
  <c r="AD441" i="8" s="1"/>
  <c r="AE441" i="8" s="1"/>
  <c r="AF441" i="8" s="1"/>
  <c r="P446" i="8"/>
  <c r="Q446" i="8"/>
  <c r="R446" i="8" s="1"/>
  <c r="S446" i="8"/>
  <c r="T446" i="8" s="1"/>
  <c r="U446" i="8" s="1"/>
  <c r="O447" i="8" s="1"/>
  <c r="P447" i="8" s="1"/>
  <c r="Q447" i="8" s="1"/>
  <c r="R447" i="8" s="1"/>
  <c r="S447" i="8" s="1"/>
  <c r="T447" i="8" s="1"/>
  <c r="U447" i="8" s="1"/>
  <c r="O448" i="8" s="1"/>
  <c r="P448" i="8" s="1"/>
  <c r="Q448" i="8" s="1"/>
  <c r="R448" i="8" s="1"/>
  <c r="S448" i="8" s="1"/>
  <c r="T448" i="8" s="1"/>
  <c r="U448" i="8" s="1"/>
  <c r="O449" i="8" s="1"/>
  <c r="P449" i="8" s="1"/>
  <c r="Q449" i="8" s="1"/>
  <c r="R449" i="8" s="1"/>
  <c r="S449" i="8" s="1"/>
  <c r="T449" i="8" s="1"/>
  <c r="U449" i="8" s="1"/>
  <c r="O450" i="8" s="1"/>
  <c r="P450" i="8" s="1"/>
  <c r="Q450" i="8" s="1"/>
  <c r="R450" i="8" s="1"/>
  <c r="AE446" i="8"/>
  <c r="AF446" i="8"/>
  <c r="AG446" i="8"/>
  <c r="AA447" i="8" s="1"/>
  <c r="AB447" i="8"/>
  <c r="AC447" i="8" s="1"/>
  <c r="AD447" i="8" s="1"/>
  <c r="AE447" i="8" s="1"/>
  <c r="AF447" i="8" s="1"/>
  <c r="AG447" i="8" s="1"/>
  <c r="AA448" i="8" s="1"/>
  <c r="AB448" i="8" s="1"/>
  <c r="AC448" i="8" s="1"/>
  <c r="AD448" i="8" s="1"/>
  <c r="AE448" i="8" s="1"/>
  <c r="AF448" i="8" s="1"/>
  <c r="AG448" i="8" s="1"/>
  <c r="AA449" i="8" s="1"/>
  <c r="AB449" i="8" s="1"/>
  <c r="AC449" i="8" s="1"/>
  <c r="AD449" i="8" s="1"/>
  <c r="AE449" i="8" s="1"/>
  <c r="AF449" i="8" s="1"/>
  <c r="AG449" i="8" s="1"/>
  <c r="AA450" i="8" s="1"/>
  <c r="AB450" i="8" s="1"/>
  <c r="AC450" i="8" s="1"/>
  <c r="AD450" i="8" s="1"/>
  <c r="AE450" i="8" s="1"/>
  <c r="AF450" i="8" s="1"/>
  <c r="C447" i="8"/>
  <c r="D447" i="8" s="1"/>
  <c r="E447" i="8" s="1"/>
  <c r="F447" i="8" s="1"/>
  <c r="G447" i="8" s="1"/>
  <c r="H447" i="8" s="1"/>
  <c r="I447" i="8" s="1"/>
  <c r="C448" i="8" s="1"/>
  <c r="D448" i="8" s="1"/>
  <c r="E448" i="8" s="1"/>
  <c r="F448" i="8" s="1"/>
  <c r="G448" i="8" s="1"/>
  <c r="H448" i="8" s="1"/>
  <c r="I448" i="8" s="1"/>
  <c r="C449" i="8" s="1"/>
  <c r="D449" i="8" s="1"/>
  <c r="E449" i="8" s="1"/>
  <c r="F449" i="8" s="1"/>
  <c r="G449" i="8" s="1"/>
  <c r="H449" i="8" s="1"/>
  <c r="I449" i="8" s="1"/>
  <c r="C450" i="8" s="1"/>
  <c r="D450" i="8" s="1"/>
  <c r="E450" i="8" s="1"/>
  <c r="F450" i="8" s="1"/>
  <c r="G450" i="8" s="1"/>
  <c r="H450" i="8" s="1"/>
  <c r="I450" i="8" s="1"/>
  <c r="C451" i="8" s="1"/>
  <c r="I455" i="8"/>
  <c r="Q455" i="8"/>
  <c r="R455" i="8"/>
  <c r="S455" i="8" s="1"/>
  <c r="T455" i="8" s="1"/>
  <c r="U455" i="8" s="1"/>
  <c r="O456" i="8" s="1"/>
  <c r="P456" i="8" s="1"/>
  <c r="Q456" i="8" s="1"/>
  <c r="R456" i="8" s="1"/>
  <c r="S456" i="8" s="1"/>
  <c r="T456" i="8" s="1"/>
  <c r="U456" i="8" s="1"/>
  <c r="O457" i="8" s="1"/>
  <c r="P457" i="8" s="1"/>
  <c r="Q457" i="8" s="1"/>
  <c r="R457" i="8" s="1"/>
  <c r="S457" i="8" s="1"/>
  <c r="T457" i="8" s="1"/>
  <c r="U457" i="8" s="1"/>
  <c r="O458" i="8" s="1"/>
  <c r="P458" i="8" s="1"/>
  <c r="Q458" i="8" s="1"/>
  <c r="R458" i="8" s="1"/>
  <c r="S458" i="8" s="1"/>
  <c r="T458" i="8" s="1"/>
  <c r="U458" i="8" s="1"/>
  <c r="O459" i="8" s="1"/>
  <c r="P459" i="8" s="1"/>
  <c r="Q459" i="8" s="1"/>
  <c r="R459" i="8" s="1"/>
  <c r="S459" i="8" s="1"/>
  <c r="AF455" i="8"/>
  <c r="AG455" i="8"/>
  <c r="AA456" i="8" s="1"/>
  <c r="AB456" i="8" s="1"/>
  <c r="AC456" i="8" s="1"/>
  <c r="AD456" i="8" s="1"/>
  <c r="AE456" i="8" s="1"/>
  <c r="AF456" i="8" s="1"/>
  <c r="AG456" i="8" s="1"/>
  <c r="AA457" i="8" s="1"/>
  <c r="AB457" i="8" s="1"/>
  <c r="AC457" i="8" s="1"/>
  <c r="AD457" i="8" s="1"/>
  <c r="AE457" i="8" s="1"/>
  <c r="AF457" i="8" s="1"/>
  <c r="AG457" i="8" s="1"/>
  <c r="AA458" i="8" s="1"/>
  <c r="AB458" i="8" s="1"/>
  <c r="AC458" i="8" s="1"/>
  <c r="AD458" i="8" s="1"/>
  <c r="AE458" i="8" s="1"/>
  <c r="AF458" i="8" s="1"/>
  <c r="AG458" i="8" s="1"/>
  <c r="AA459" i="8" s="1"/>
  <c r="AB459" i="8" s="1"/>
  <c r="AC459" i="8" s="1"/>
  <c r="AD459" i="8" s="1"/>
  <c r="AE459" i="8" s="1"/>
  <c r="AF459" i="8" s="1"/>
  <c r="AG459" i="8" s="1"/>
  <c r="C456" i="8"/>
  <c r="D456" i="8"/>
  <c r="E456" i="8" s="1"/>
  <c r="F456" i="8"/>
  <c r="G456" i="8" s="1"/>
  <c r="H456" i="8" s="1"/>
  <c r="I456" i="8" s="1"/>
  <c r="C457" i="8" s="1"/>
  <c r="D457" i="8" s="1"/>
  <c r="E457" i="8" s="1"/>
  <c r="F457" i="8" s="1"/>
  <c r="G457" i="8" s="1"/>
  <c r="H457" i="8" s="1"/>
  <c r="I457" i="8" s="1"/>
  <c r="C458" i="8" s="1"/>
  <c r="D458" i="8" s="1"/>
  <c r="E458" i="8" s="1"/>
  <c r="F458" i="8" s="1"/>
  <c r="G458" i="8" s="1"/>
  <c r="H458" i="8" s="1"/>
  <c r="I458" i="8" s="1"/>
  <c r="C459" i="8" s="1"/>
  <c r="D459" i="8" s="1"/>
  <c r="E459" i="8" s="1"/>
  <c r="F459" i="8" s="1"/>
  <c r="G459" i="8" s="1"/>
  <c r="H459" i="8" s="1"/>
  <c r="I459" i="8" s="1"/>
  <c r="C460" i="8" s="1"/>
  <c r="D460" i="8" s="1"/>
  <c r="D464" i="8"/>
  <c r="E464" i="8"/>
  <c r="F464" i="8"/>
  <c r="G464" i="8"/>
  <c r="H464" i="8" s="1"/>
  <c r="I464" i="8" s="1"/>
  <c r="C465" i="8" s="1"/>
  <c r="D465" i="8" s="1"/>
  <c r="E465" i="8" s="1"/>
  <c r="F465" i="8" s="1"/>
  <c r="G465" i="8" s="1"/>
  <c r="H465" i="8" s="1"/>
  <c r="I465" i="8" s="1"/>
  <c r="C466" i="8" s="1"/>
  <c r="D466" i="8" s="1"/>
  <c r="E466" i="8" s="1"/>
  <c r="F466" i="8" s="1"/>
  <c r="G466" i="8" s="1"/>
  <c r="H466" i="8" s="1"/>
  <c r="I466" i="8" s="1"/>
  <c r="C467" i="8" s="1"/>
  <c r="D467" i="8" s="1"/>
  <c r="E467" i="8" s="1"/>
  <c r="F467" i="8" s="1"/>
  <c r="G467" i="8" s="1"/>
  <c r="H467" i="8" s="1"/>
  <c r="I467" i="8" s="1"/>
  <c r="C468" i="8" s="1"/>
  <c r="D468" i="8" s="1"/>
  <c r="E468" i="8" s="1"/>
  <c r="R464" i="8"/>
  <c r="S464" i="8" s="1"/>
  <c r="T464" i="8" s="1"/>
  <c r="U464" i="8" s="1"/>
  <c r="O465" i="8" s="1"/>
  <c r="P465" i="8" s="1"/>
  <c r="Q465" i="8" s="1"/>
  <c r="R465" i="8" s="1"/>
  <c r="S465" i="8" s="1"/>
  <c r="T465" i="8" s="1"/>
  <c r="U465" i="8" s="1"/>
  <c r="O466" i="8" s="1"/>
  <c r="P466" i="8" s="1"/>
  <c r="Q466" i="8" s="1"/>
  <c r="R466" i="8" s="1"/>
  <c r="S466" i="8" s="1"/>
  <c r="T466" i="8" s="1"/>
  <c r="U466" i="8" s="1"/>
  <c r="O467" i="8" s="1"/>
  <c r="P467" i="8" s="1"/>
  <c r="Q467" i="8" s="1"/>
  <c r="R467" i="8" s="1"/>
  <c r="S467" i="8" s="1"/>
  <c r="T467" i="8" s="1"/>
  <c r="U467" i="8" s="1"/>
  <c r="O468" i="8" s="1"/>
  <c r="P468" i="8" s="1"/>
  <c r="Q468" i="8" s="1"/>
  <c r="R468" i="8" s="1"/>
  <c r="S468" i="8" s="1"/>
  <c r="AF464" i="8"/>
  <c r="AG464" i="8"/>
  <c r="AA465" i="8" s="1"/>
  <c r="AB465" i="8" s="1"/>
  <c r="AC465" i="8" s="1"/>
  <c r="AD465" i="8" s="1"/>
  <c r="AE465" i="8" s="1"/>
  <c r="AF465" i="8" s="1"/>
  <c r="AG465" i="8" s="1"/>
  <c r="AA466" i="8" s="1"/>
  <c r="AB466" i="8" s="1"/>
  <c r="AC466" i="8" s="1"/>
  <c r="AD466" i="8" s="1"/>
  <c r="AE466" i="8" s="1"/>
  <c r="AF466" i="8" s="1"/>
  <c r="AG466" i="8" s="1"/>
  <c r="AA467" i="8" s="1"/>
  <c r="AB467" i="8" s="1"/>
  <c r="AC467" i="8" s="1"/>
  <c r="AD467" i="8" s="1"/>
  <c r="AE467" i="8" s="1"/>
  <c r="AF467" i="8" s="1"/>
  <c r="AG467" i="8" s="1"/>
  <c r="AA468" i="8" s="1"/>
  <c r="AB468" i="8" s="1"/>
  <c r="AC468" i="8" s="1"/>
  <c r="AD468" i="8" s="1"/>
  <c r="AE468" i="8" s="1"/>
  <c r="AF468" i="8" s="1"/>
  <c r="AG468" i="8" s="1"/>
  <c r="AA469" i="8" s="1"/>
  <c r="AI471" i="8"/>
  <c r="J32" i="6" s="1"/>
  <c r="AI472" i="8"/>
  <c r="I32" i="6" s="1"/>
  <c r="AI473" i="8"/>
  <c r="F32" i="6" s="1"/>
  <c r="G32" i="6" s="1"/>
  <c r="AJ473" i="8"/>
  <c r="E480" i="8"/>
  <c r="F480" i="8" s="1"/>
  <c r="G480" i="8" s="1"/>
  <c r="H480" i="8" s="1"/>
  <c r="I480" i="8" s="1"/>
  <c r="C481" i="8" s="1"/>
  <c r="D481" i="8" s="1"/>
  <c r="E481" i="8" s="1"/>
  <c r="F481" i="8" s="1"/>
  <c r="G481" i="8" s="1"/>
  <c r="H481" i="8" s="1"/>
  <c r="I481" i="8" s="1"/>
  <c r="C482" i="8" s="1"/>
  <c r="D482" i="8" s="1"/>
  <c r="E482" i="8" s="1"/>
  <c r="F482" i="8" s="1"/>
  <c r="G482" i="8" s="1"/>
  <c r="H482" i="8" s="1"/>
  <c r="I482" i="8" s="1"/>
  <c r="C483" i="8" s="1"/>
  <c r="D483" i="8" s="1"/>
  <c r="E483" i="8" s="1"/>
  <c r="F483" i="8" s="1"/>
  <c r="G483" i="8" s="1"/>
  <c r="H483" i="8" s="1"/>
  <c r="I483" i="8" s="1"/>
  <c r="C484" i="8" s="1"/>
  <c r="D484" i="8" s="1"/>
  <c r="E484" i="8" s="1"/>
  <c r="F484" i="8" s="1"/>
  <c r="S480" i="8"/>
  <c r="T480" i="8"/>
  <c r="U480" i="8" s="1"/>
  <c r="O481" i="8" s="1"/>
  <c r="P481" i="8" s="1"/>
  <c r="Q481" i="8" s="1"/>
  <c r="R481" i="8" s="1"/>
  <c r="S481" i="8" s="1"/>
  <c r="T481" i="8" s="1"/>
  <c r="U481" i="8" s="1"/>
  <c r="O482" i="8" s="1"/>
  <c r="P482" i="8" s="1"/>
  <c r="Q482" i="8" s="1"/>
  <c r="R482" i="8" s="1"/>
  <c r="S482" i="8" s="1"/>
  <c r="T482" i="8" s="1"/>
  <c r="U482" i="8" s="1"/>
  <c r="O483" i="8" s="1"/>
  <c r="P483" i="8" s="1"/>
  <c r="Q483" i="8" s="1"/>
  <c r="R483" i="8" s="1"/>
  <c r="S483" i="8" s="1"/>
  <c r="T483" i="8" s="1"/>
  <c r="U483" i="8" s="1"/>
  <c r="O484" i="8" s="1"/>
  <c r="P484" i="8" s="1"/>
  <c r="Q484" i="8" s="1"/>
  <c r="R484" i="8" s="1"/>
  <c r="AE480" i="8"/>
  <c r="AF480" i="8"/>
  <c r="AG480" i="8"/>
  <c r="AA481" i="8"/>
  <c r="AB481" i="8" s="1"/>
  <c r="AC481" i="8" s="1"/>
  <c r="AD481" i="8" s="1"/>
  <c r="AE481" i="8" s="1"/>
  <c r="AF481" i="8" s="1"/>
  <c r="AG481" i="8" s="1"/>
  <c r="AA482" i="8" s="1"/>
  <c r="AB482" i="8" s="1"/>
  <c r="AC482" i="8" s="1"/>
  <c r="AD482" i="8" s="1"/>
  <c r="AE482" i="8" s="1"/>
  <c r="AF482" i="8" s="1"/>
  <c r="AG482" i="8" s="1"/>
  <c r="AA483" i="8" s="1"/>
  <c r="AB483" i="8" s="1"/>
  <c r="AC483" i="8" s="1"/>
  <c r="AD483" i="8" s="1"/>
  <c r="AE483" i="8" s="1"/>
  <c r="AF483" i="8" s="1"/>
  <c r="AG483" i="8" s="1"/>
  <c r="AA484" i="8" s="1"/>
  <c r="AB484" i="8" s="1"/>
  <c r="AC484" i="8" s="1"/>
  <c r="AD484" i="8" s="1"/>
  <c r="AE484" i="8" s="1"/>
  <c r="AF484" i="8" s="1"/>
  <c r="AG484" i="8" s="1"/>
  <c r="D489" i="8"/>
  <c r="E489" i="8" s="1"/>
  <c r="F489" i="8"/>
  <c r="G489" i="8"/>
  <c r="H489" i="8"/>
  <c r="I489" i="8" s="1"/>
  <c r="C490" i="8" s="1"/>
  <c r="D490" i="8" s="1"/>
  <c r="E490" i="8" s="1"/>
  <c r="F490" i="8" s="1"/>
  <c r="G490" i="8" s="1"/>
  <c r="H490" i="8" s="1"/>
  <c r="I490" i="8" s="1"/>
  <c r="C491" i="8" s="1"/>
  <c r="D491" i="8" s="1"/>
  <c r="E491" i="8" s="1"/>
  <c r="F491" i="8" s="1"/>
  <c r="G491" i="8" s="1"/>
  <c r="H491" i="8" s="1"/>
  <c r="I491" i="8" s="1"/>
  <c r="C492" i="8" s="1"/>
  <c r="D492" i="8" s="1"/>
  <c r="E492" i="8" s="1"/>
  <c r="F492" i="8" s="1"/>
  <c r="G492" i="8" s="1"/>
  <c r="H492" i="8" s="1"/>
  <c r="I492" i="8" s="1"/>
  <c r="C493" i="8" s="1"/>
  <c r="D493" i="8" s="1"/>
  <c r="Q489" i="8"/>
  <c r="R489" i="8"/>
  <c r="S489" i="8"/>
  <c r="T489" i="8" s="1"/>
  <c r="U489" i="8"/>
  <c r="O490" i="8" s="1"/>
  <c r="P490" i="8" s="1"/>
  <c r="Q490" i="8" s="1"/>
  <c r="R490" i="8" s="1"/>
  <c r="S490" i="8" s="1"/>
  <c r="T490" i="8" s="1"/>
  <c r="U490" i="8" s="1"/>
  <c r="O491" i="8" s="1"/>
  <c r="P491" i="8" s="1"/>
  <c r="Q491" i="8" s="1"/>
  <c r="R491" i="8" s="1"/>
  <c r="S491" i="8" s="1"/>
  <c r="T491" i="8" s="1"/>
  <c r="U491" i="8" s="1"/>
  <c r="O492" i="8" s="1"/>
  <c r="P492" i="8" s="1"/>
  <c r="Q492" i="8" s="1"/>
  <c r="R492" i="8" s="1"/>
  <c r="S492" i="8" s="1"/>
  <c r="T492" i="8" s="1"/>
  <c r="U492" i="8" s="1"/>
  <c r="O493" i="8" s="1"/>
  <c r="P493" i="8" s="1"/>
  <c r="Q493" i="8" s="1"/>
  <c r="R493" i="8" s="1"/>
  <c r="S493" i="8" s="1"/>
  <c r="AG489" i="8"/>
  <c r="AA490" i="8" s="1"/>
  <c r="AB490" i="8" s="1"/>
  <c r="AC490" i="8" s="1"/>
  <c r="AD490" i="8" s="1"/>
  <c r="AE490" i="8" s="1"/>
  <c r="AF490" i="8" s="1"/>
  <c r="AG490" i="8" s="1"/>
  <c r="AA491" i="8" s="1"/>
  <c r="AB491" i="8" s="1"/>
  <c r="AC491" i="8" s="1"/>
  <c r="AD491" i="8" s="1"/>
  <c r="AE491" i="8" s="1"/>
  <c r="AF491" i="8" s="1"/>
  <c r="AG491" i="8" s="1"/>
  <c r="AA492" i="8" s="1"/>
  <c r="AB492" i="8" s="1"/>
  <c r="AC492" i="8" s="1"/>
  <c r="AD492" i="8" s="1"/>
  <c r="AE492" i="8" s="1"/>
  <c r="AF492" i="8" s="1"/>
  <c r="AG492" i="8" s="1"/>
  <c r="AA493" i="8" s="1"/>
  <c r="AB493" i="8" s="1"/>
  <c r="AC493" i="8" s="1"/>
  <c r="AD493" i="8" s="1"/>
  <c r="AE493" i="8" s="1"/>
  <c r="AF493" i="8" s="1"/>
  <c r="AG493" i="8" s="1"/>
  <c r="D498" i="8"/>
  <c r="E498" i="8"/>
  <c r="F498" i="8"/>
  <c r="G498" i="8"/>
  <c r="H498" i="8" s="1"/>
  <c r="I498" i="8"/>
  <c r="C499" i="8" s="1"/>
  <c r="D499" i="8" s="1"/>
  <c r="E499" i="8" s="1"/>
  <c r="F499" i="8" s="1"/>
  <c r="G499" i="8" s="1"/>
  <c r="H499" i="8" s="1"/>
  <c r="I499" i="8" s="1"/>
  <c r="C500" i="8" s="1"/>
  <c r="D500" i="8" s="1"/>
  <c r="E500" i="8" s="1"/>
  <c r="F500" i="8" s="1"/>
  <c r="G500" i="8" s="1"/>
  <c r="H500" i="8" s="1"/>
  <c r="I500" i="8" s="1"/>
  <c r="C501" i="8" s="1"/>
  <c r="D501" i="8" s="1"/>
  <c r="E501" i="8" s="1"/>
  <c r="F501" i="8" s="1"/>
  <c r="G501" i="8" s="1"/>
  <c r="H501" i="8" s="1"/>
  <c r="I501" i="8" s="1"/>
  <c r="C502" i="8" s="1"/>
  <c r="D502" i="8" s="1"/>
  <c r="E502" i="8" s="1"/>
  <c r="S498" i="8"/>
  <c r="T498" i="8"/>
  <c r="U498" i="8" s="1"/>
  <c r="O499" i="8" s="1"/>
  <c r="P499" i="8" s="1"/>
  <c r="Q499" i="8" s="1"/>
  <c r="R499" i="8" s="1"/>
  <c r="S499" i="8" s="1"/>
  <c r="T499" i="8" s="1"/>
  <c r="U499" i="8" s="1"/>
  <c r="O500" i="8" s="1"/>
  <c r="P500" i="8" s="1"/>
  <c r="Q500" i="8" s="1"/>
  <c r="R500" i="8" s="1"/>
  <c r="S500" i="8" s="1"/>
  <c r="T500" i="8" s="1"/>
  <c r="U500" i="8" s="1"/>
  <c r="O501" i="8" s="1"/>
  <c r="P501" i="8" s="1"/>
  <c r="Q501" i="8" s="1"/>
  <c r="R501" i="8" s="1"/>
  <c r="S501" i="8" s="1"/>
  <c r="T501" i="8" s="1"/>
  <c r="U501" i="8" s="1"/>
  <c r="O502" i="8" s="1"/>
  <c r="P502" i="8" s="1"/>
  <c r="Q502" i="8" s="1"/>
  <c r="R502" i="8" s="1"/>
  <c r="S502" i="8" s="1"/>
  <c r="T502" i="8" s="1"/>
  <c r="AA499" i="8"/>
  <c r="AB499" i="8"/>
  <c r="AC499" i="8"/>
  <c r="AD499" i="8" s="1"/>
  <c r="AE499" i="8" s="1"/>
  <c r="AF499" i="8" s="1"/>
  <c r="AG499" i="8" s="1"/>
  <c r="AA500" i="8" s="1"/>
  <c r="AB500" i="8" s="1"/>
  <c r="AC500" i="8" s="1"/>
  <c r="AD500" i="8" s="1"/>
  <c r="AE500" i="8" s="1"/>
  <c r="AF500" i="8" s="1"/>
  <c r="AG500" i="8" s="1"/>
  <c r="AA501" i="8" s="1"/>
  <c r="AB501" i="8" s="1"/>
  <c r="AC501" i="8" s="1"/>
  <c r="AD501" i="8" s="1"/>
  <c r="AE501" i="8" s="1"/>
  <c r="AF501" i="8" s="1"/>
  <c r="AG501" i="8" s="1"/>
  <c r="AA502" i="8" s="1"/>
  <c r="AB502" i="8" s="1"/>
  <c r="AC502" i="8" s="1"/>
  <c r="AD502" i="8" s="1"/>
  <c r="AE502" i="8" s="1"/>
  <c r="AF502" i="8" s="1"/>
  <c r="AG502" i="8" s="1"/>
  <c r="AA503" i="8" s="1"/>
  <c r="E507" i="8"/>
  <c r="F507" i="8" s="1"/>
  <c r="G507" i="8" s="1"/>
  <c r="H507" i="8" s="1"/>
  <c r="I507" i="8" s="1"/>
  <c r="C508" i="8" s="1"/>
  <c r="D508" i="8" s="1"/>
  <c r="E508" i="8" s="1"/>
  <c r="F508" i="8" s="1"/>
  <c r="G508" i="8" s="1"/>
  <c r="H508" i="8" s="1"/>
  <c r="I508" i="8" s="1"/>
  <c r="C509" i="8" s="1"/>
  <c r="D509" i="8" s="1"/>
  <c r="E509" i="8" s="1"/>
  <c r="F509" i="8" s="1"/>
  <c r="G509" i="8" s="1"/>
  <c r="H509" i="8" s="1"/>
  <c r="I509" i="8" s="1"/>
  <c r="C510" i="8" s="1"/>
  <c r="D510" i="8" s="1"/>
  <c r="E510" i="8" s="1"/>
  <c r="F510" i="8" s="1"/>
  <c r="G510" i="8" s="1"/>
  <c r="H510" i="8" s="1"/>
  <c r="I510" i="8" s="1"/>
  <c r="C511" i="8" s="1"/>
  <c r="D511" i="8" s="1"/>
  <c r="E511" i="8" s="1"/>
  <c r="F511" i="8" s="1"/>
  <c r="T507" i="8"/>
  <c r="U507" i="8" s="1"/>
  <c r="O508" i="8"/>
  <c r="P508" i="8" s="1"/>
  <c r="Q508" i="8" s="1"/>
  <c r="R508" i="8" s="1"/>
  <c r="S508" i="8" s="1"/>
  <c r="T508" i="8" s="1"/>
  <c r="U508" i="8" s="1"/>
  <c r="O509" i="8" s="1"/>
  <c r="P509" i="8" s="1"/>
  <c r="Q509" i="8" s="1"/>
  <c r="R509" i="8" s="1"/>
  <c r="S509" i="8" s="1"/>
  <c r="T509" i="8" s="1"/>
  <c r="U509" i="8" s="1"/>
  <c r="O510" i="8" s="1"/>
  <c r="P510" i="8" s="1"/>
  <c r="Q510" i="8" s="1"/>
  <c r="R510" i="8" s="1"/>
  <c r="S510" i="8" s="1"/>
  <c r="T510" i="8" s="1"/>
  <c r="U510" i="8" s="1"/>
  <c r="O511" i="8" s="1"/>
  <c r="P511" i="8" s="1"/>
  <c r="Q511" i="8" s="1"/>
  <c r="R511" i="8" s="1"/>
  <c r="S511" i="8" s="1"/>
  <c r="T511" i="8" s="1"/>
  <c r="AA508" i="8"/>
  <c r="AB508" i="8"/>
  <c r="AC508" i="8"/>
  <c r="AD508" i="8"/>
  <c r="AE508" i="8" s="1"/>
  <c r="AF508" i="8" s="1"/>
  <c r="AG508" i="8" s="1"/>
  <c r="AA509" i="8" s="1"/>
  <c r="AB509" i="8" s="1"/>
  <c r="AC509" i="8" s="1"/>
  <c r="AD509" i="8" s="1"/>
  <c r="AE509" i="8" s="1"/>
  <c r="AF509" i="8" s="1"/>
  <c r="AG509" i="8" s="1"/>
  <c r="AA510" i="8" s="1"/>
  <c r="AB510" i="8" s="1"/>
  <c r="AC510" i="8" s="1"/>
  <c r="AD510" i="8" s="1"/>
  <c r="AE510" i="8" s="1"/>
  <c r="AF510" i="8" s="1"/>
  <c r="AG510" i="8" s="1"/>
  <c r="AA511" i="8" s="1"/>
  <c r="AB511" i="8" s="1"/>
  <c r="AC511" i="8" s="1"/>
  <c r="AD511" i="8" s="1"/>
  <c r="AE511" i="8" s="1"/>
  <c r="AF511" i="8" s="1"/>
  <c r="AG511" i="8" s="1"/>
  <c r="AA512" i="8" s="1"/>
  <c r="AB512" i="8" s="1"/>
  <c r="AI514" i="8"/>
  <c r="J33" i="6" s="1"/>
  <c r="AI515" i="8"/>
  <c r="I33" i="6"/>
  <c r="AI516" i="8"/>
  <c r="AJ516" i="8" s="1"/>
  <c r="F523" i="8"/>
  <c r="G523" i="8"/>
  <c r="H523" i="8"/>
  <c r="I523" i="8" s="1"/>
  <c r="C524" i="8" s="1"/>
  <c r="D524" i="8" s="1"/>
  <c r="E524" i="8" s="1"/>
  <c r="F524" i="8" s="1"/>
  <c r="G524" i="8" s="1"/>
  <c r="H524" i="8" s="1"/>
  <c r="I524" i="8" s="1"/>
  <c r="C525" i="8" s="1"/>
  <c r="D525" i="8" s="1"/>
  <c r="E525" i="8" s="1"/>
  <c r="F525" i="8" s="1"/>
  <c r="G525" i="8" s="1"/>
  <c r="H525" i="8" s="1"/>
  <c r="I525" i="8" s="1"/>
  <c r="C526" i="8" s="1"/>
  <c r="D526" i="8" s="1"/>
  <c r="E526" i="8" s="1"/>
  <c r="F526" i="8" s="1"/>
  <c r="G526" i="8" s="1"/>
  <c r="H526" i="8" s="1"/>
  <c r="I526" i="8" s="1"/>
  <c r="C527" i="8" s="1"/>
  <c r="D527" i="8" s="1"/>
  <c r="E527" i="8" s="1"/>
  <c r="F527" i="8" s="1"/>
  <c r="G527" i="8" s="1"/>
  <c r="U523" i="8"/>
  <c r="AG523" i="8"/>
  <c r="AA524" i="8"/>
  <c r="AB524" i="8" s="1"/>
  <c r="O524" i="8"/>
  <c r="P524" i="8" s="1"/>
  <c r="Q524" i="8" s="1"/>
  <c r="R524" i="8" s="1"/>
  <c r="S524" i="8" s="1"/>
  <c r="T524" i="8" s="1"/>
  <c r="U524" i="8" s="1"/>
  <c r="O525" i="8" s="1"/>
  <c r="P525" i="8" s="1"/>
  <c r="Q525" i="8" s="1"/>
  <c r="R525" i="8" s="1"/>
  <c r="S525" i="8" s="1"/>
  <c r="T525" i="8" s="1"/>
  <c r="U525" i="8" s="1"/>
  <c r="O526" i="8" s="1"/>
  <c r="P526" i="8" s="1"/>
  <c r="Q526" i="8" s="1"/>
  <c r="R526" i="8" s="1"/>
  <c r="S526" i="8" s="1"/>
  <c r="T526" i="8" s="1"/>
  <c r="U526" i="8" s="1"/>
  <c r="O527" i="8" s="1"/>
  <c r="P527" i="8" s="1"/>
  <c r="Q527" i="8" s="1"/>
  <c r="R527" i="8" s="1"/>
  <c r="S527" i="8" s="1"/>
  <c r="AC524" i="8"/>
  <c r="AD524" i="8" s="1"/>
  <c r="AE524" i="8" s="1"/>
  <c r="AF524" i="8" s="1"/>
  <c r="AG524" i="8" s="1"/>
  <c r="AA525" i="8" s="1"/>
  <c r="AB525" i="8" s="1"/>
  <c r="AC525" i="8" s="1"/>
  <c r="AD525" i="8" s="1"/>
  <c r="AE525" i="8" s="1"/>
  <c r="AF525" i="8" s="1"/>
  <c r="AG525" i="8" s="1"/>
  <c r="AA526" i="8" s="1"/>
  <c r="AB526" i="8" s="1"/>
  <c r="AC526" i="8" s="1"/>
  <c r="AD526" i="8" s="1"/>
  <c r="AE526" i="8" s="1"/>
  <c r="AF526" i="8" s="1"/>
  <c r="AG526" i="8" s="1"/>
  <c r="AA527" i="8" s="1"/>
  <c r="AB527" i="8" s="1"/>
  <c r="AC527" i="8" s="1"/>
  <c r="AD527" i="8" s="1"/>
  <c r="AE527" i="8" s="1"/>
  <c r="AF527" i="8" s="1"/>
  <c r="AG527" i="8" s="1"/>
  <c r="AA528" i="8" s="1"/>
  <c r="E532" i="8"/>
  <c r="F532" i="8"/>
  <c r="G532" i="8"/>
  <c r="H532" i="8"/>
  <c r="I532" i="8" s="1"/>
  <c r="C533" i="8" s="1"/>
  <c r="D533" i="8" s="1"/>
  <c r="E533" i="8" s="1"/>
  <c r="F533" i="8" s="1"/>
  <c r="G533" i="8" s="1"/>
  <c r="H533" i="8" s="1"/>
  <c r="I533" i="8" s="1"/>
  <c r="C534" i="8" s="1"/>
  <c r="D534" i="8" s="1"/>
  <c r="E534" i="8" s="1"/>
  <c r="F534" i="8" s="1"/>
  <c r="G534" i="8" s="1"/>
  <c r="H534" i="8" s="1"/>
  <c r="I534" i="8" s="1"/>
  <c r="C535" i="8" s="1"/>
  <c r="D535" i="8" s="1"/>
  <c r="E535" i="8" s="1"/>
  <c r="F535" i="8" s="1"/>
  <c r="G535" i="8" s="1"/>
  <c r="H535" i="8" s="1"/>
  <c r="I535" i="8" s="1"/>
  <c r="C536" i="8" s="1"/>
  <c r="D536" i="8" s="1"/>
  <c r="E536" i="8" s="1"/>
  <c r="S532" i="8"/>
  <c r="T532" i="8"/>
  <c r="U532" i="8" s="1"/>
  <c r="O533" i="8" s="1"/>
  <c r="P533" i="8" s="1"/>
  <c r="Q533" i="8" s="1"/>
  <c r="R533" i="8" s="1"/>
  <c r="S533" i="8" s="1"/>
  <c r="T533" i="8" s="1"/>
  <c r="U533" i="8" s="1"/>
  <c r="O534" i="8" s="1"/>
  <c r="P534" i="8" s="1"/>
  <c r="Q534" i="8" s="1"/>
  <c r="R534" i="8" s="1"/>
  <c r="S534" i="8" s="1"/>
  <c r="T534" i="8" s="1"/>
  <c r="U534" i="8" s="1"/>
  <c r="O535" i="8" s="1"/>
  <c r="P535" i="8" s="1"/>
  <c r="Q535" i="8" s="1"/>
  <c r="R535" i="8" s="1"/>
  <c r="S535" i="8" s="1"/>
  <c r="T535" i="8" s="1"/>
  <c r="U535" i="8" s="1"/>
  <c r="O536" i="8" s="1"/>
  <c r="P536" i="8" s="1"/>
  <c r="Q536" i="8" s="1"/>
  <c r="R536" i="8" s="1"/>
  <c r="S536" i="8" s="1"/>
  <c r="T536" i="8" s="1"/>
  <c r="AA533" i="8"/>
  <c r="AB533" i="8" s="1"/>
  <c r="AC533" i="8"/>
  <c r="AD533" i="8"/>
  <c r="AE533" i="8" s="1"/>
  <c r="AF533" i="8" s="1"/>
  <c r="AG533" i="8" s="1"/>
  <c r="AA534" i="8" s="1"/>
  <c r="AB534" i="8" s="1"/>
  <c r="AC534" i="8" s="1"/>
  <c r="AD534" i="8" s="1"/>
  <c r="AE534" i="8" s="1"/>
  <c r="AF534" i="8" s="1"/>
  <c r="AG534" i="8" s="1"/>
  <c r="AA535" i="8" s="1"/>
  <c r="AB535" i="8" s="1"/>
  <c r="AC535" i="8" s="1"/>
  <c r="AD535" i="8" s="1"/>
  <c r="AE535" i="8" s="1"/>
  <c r="AF535" i="8" s="1"/>
  <c r="AG535" i="8" s="1"/>
  <c r="AA536" i="8" s="1"/>
  <c r="AB536" i="8" s="1"/>
  <c r="AC536" i="8" s="1"/>
  <c r="AD536" i="8" s="1"/>
  <c r="AE536" i="8" s="1"/>
  <c r="AF536" i="8" s="1"/>
  <c r="AG536" i="8" s="1"/>
  <c r="AA537" i="8" s="1"/>
  <c r="E541" i="8"/>
  <c r="F541" i="8"/>
  <c r="G541" i="8"/>
  <c r="H541" i="8"/>
  <c r="I541" i="8" s="1"/>
  <c r="C542" i="8"/>
  <c r="D542" i="8" s="1"/>
  <c r="E542" i="8" s="1"/>
  <c r="F542" i="8" s="1"/>
  <c r="G542" i="8" s="1"/>
  <c r="H542" i="8" s="1"/>
  <c r="I542" i="8" s="1"/>
  <c r="C543" i="8" s="1"/>
  <c r="D543" i="8" s="1"/>
  <c r="E543" i="8" s="1"/>
  <c r="F543" i="8" s="1"/>
  <c r="G543" i="8" s="1"/>
  <c r="H543" i="8" s="1"/>
  <c r="I543" i="8" s="1"/>
  <c r="C544" i="8" s="1"/>
  <c r="D544" i="8" s="1"/>
  <c r="E544" i="8" s="1"/>
  <c r="F544" i="8" s="1"/>
  <c r="G544" i="8" s="1"/>
  <c r="H544" i="8" s="1"/>
  <c r="I544" i="8" s="1"/>
  <c r="C545" i="8" s="1"/>
  <c r="D545" i="8" s="1"/>
  <c r="E545" i="8" s="1"/>
  <c r="F545" i="8" s="1"/>
  <c r="T541" i="8"/>
  <c r="U541" i="8"/>
  <c r="O542" i="8" s="1"/>
  <c r="P542" i="8" s="1"/>
  <c r="Q542" i="8" s="1"/>
  <c r="R542" i="8" s="1"/>
  <c r="S542" i="8" s="1"/>
  <c r="T542" i="8" s="1"/>
  <c r="U542" i="8" s="1"/>
  <c r="O543" i="8" s="1"/>
  <c r="P543" i="8" s="1"/>
  <c r="Q543" i="8" s="1"/>
  <c r="R543" i="8" s="1"/>
  <c r="S543" i="8" s="1"/>
  <c r="T543" i="8" s="1"/>
  <c r="U543" i="8" s="1"/>
  <c r="O544" i="8" s="1"/>
  <c r="P544" i="8" s="1"/>
  <c r="Q544" i="8" s="1"/>
  <c r="R544" i="8" s="1"/>
  <c r="S544" i="8" s="1"/>
  <c r="T544" i="8" s="1"/>
  <c r="U544" i="8" s="1"/>
  <c r="O545" i="8" s="1"/>
  <c r="P545" i="8" s="1"/>
  <c r="Q545" i="8" s="1"/>
  <c r="R545" i="8" s="1"/>
  <c r="S545" i="8" s="1"/>
  <c r="T545" i="8" s="1"/>
  <c r="U545" i="8" s="1"/>
  <c r="AB541" i="8"/>
  <c r="AC541" i="8"/>
  <c r="AD541" i="8"/>
  <c r="AE541" i="8" s="1"/>
  <c r="AF541" i="8" s="1"/>
  <c r="AG541" i="8" s="1"/>
  <c r="AA542" i="8" s="1"/>
  <c r="AB542" i="8" s="1"/>
  <c r="AC542" i="8" s="1"/>
  <c r="AD542" i="8" s="1"/>
  <c r="AE542" i="8" s="1"/>
  <c r="AF542" i="8" s="1"/>
  <c r="AG542" i="8" s="1"/>
  <c r="AA543" i="8" s="1"/>
  <c r="AB543" i="8" s="1"/>
  <c r="AC543" i="8" s="1"/>
  <c r="AD543" i="8" s="1"/>
  <c r="AE543" i="8" s="1"/>
  <c r="AF543" i="8" s="1"/>
  <c r="AG543" i="8" s="1"/>
  <c r="AA544" i="8" s="1"/>
  <c r="AB544" i="8" s="1"/>
  <c r="AC544" i="8" s="1"/>
  <c r="AD544" i="8" s="1"/>
  <c r="AE544" i="8" s="1"/>
  <c r="AF544" i="8" s="1"/>
  <c r="AG544" i="8" s="1"/>
  <c r="AA545" i="8" s="1"/>
  <c r="AB545" i="8" s="1"/>
  <c r="F550" i="8"/>
  <c r="G550" i="8" s="1"/>
  <c r="H550" i="8" s="1"/>
  <c r="I550" i="8" s="1"/>
  <c r="C551" i="8" s="1"/>
  <c r="D551" i="8" s="1"/>
  <c r="E551" i="8" s="1"/>
  <c r="F551" i="8" s="1"/>
  <c r="G551" i="8" s="1"/>
  <c r="H551" i="8" s="1"/>
  <c r="I551" i="8" s="1"/>
  <c r="C552" i="8" s="1"/>
  <c r="D552" i="8" s="1"/>
  <c r="E552" i="8" s="1"/>
  <c r="F552" i="8" s="1"/>
  <c r="G552" i="8" s="1"/>
  <c r="H552" i="8" s="1"/>
  <c r="I552" i="8" s="1"/>
  <c r="C553" i="8" s="1"/>
  <c r="D553" i="8" s="1"/>
  <c r="E553" i="8" s="1"/>
  <c r="F553" i="8" s="1"/>
  <c r="G553" i="8" s="1"/>
  <c r="H553" i="8" s="1"/>
  <c r="I553" i="8" s="1"/>
  <c r="C554" i="8" s="1"/>
  <c r="D554" i="8" s="1"/>
  <c r="E554" i="8" s="1"/>
  <c r="F554" i="8" s="1"/>
  <c r="G554" i="8" s="1"/>
  <c r="U550" i="8"/>
  <c r="AB550" i="8"/>
  <c r="AC550" i="8"/>
  <c r="AD550" i="8"/>
  <c r="AE550" i="8"/>
  <c r="AF550" i="8" s="1"/>
  <c r="AG550" i="8"/>
  <c r="AA551" i="8" s="1"/>
  <c r="AB551" i="8" s="1"/>
  <c r="AC551" i="8" s="1"/>
  <c r="AD551" i="8" s="1"/>
  <c r="AE551" i="8" s="1"/>
  <c r="AF551" i="8" s="1"/>
  <c r="AG551" i="8" s="1"/>
  <c r="AA552" i="8" s="1"/>
  <c r="AB552" i="8" s="1"/>
  <c r="AC552" i="8" s="1"/>
  <c r="AD552" i="8" s="1"/>
  <c r="AE552" i="8" s="1"/>
  <c r="AF552" i="8" s="1"/>
  <c r="AG552" i="8" s="1"/>
  <c r="AA553" i="8" s="1"/>
  <c r="AB553" i="8" s="1"/>
  <c r="AC553" i="8" s="1"/>
  <c r="AD553" i="8" s="1"/>
  <c r="AE553" i="8" s="1"/>
  <c r="AF553" i="8" s="1"/>
  <c r="AG553" i="8" s="1"/>
  <c r="AA554" i="8" s="1"/>
  <c r="AB554" i="8" s="1"/>
  <c r="AC554" i="8" s="1"/>
  <c r="O551" i="8"/>
  <c r="P551" i="8"/>
  <c r="Q551" i="8" s="1"/>
  <c r="R551" i="8" s="1"/>
  <c r="S551" i="8" s="1"/>
  <c r="T551" i="8" s="1"/>
  <c r="U551" i="8" s="1"/>
  <c r="O552" i="8" s="1"/>
  <c r="P552" i="8" s="1"/>
  <c r="Q552" i="8" s="1"/>
  <c r="R552" i="8" s="1"/>
  <c r="S552" i="8" s="1"/>
  <c r="T552" i="8" s="1"/>
  <c r="U552" i="8" s="1"/>
  <c r="O553" i="8" s="1"/>
  <c r="P553" i="8" s="1"/>
  <c r="Q553" i="8" s="1"/>
  <c r="R553" i="8" s="1"/>
  <c r="S553" i="8" s="1"/>
  <c r="T553" i="8" s="1"/>
  <c r="U553" i="8" s="1"/>
  <c r="O554" i="8" s="1"/>
  <c r="P554" i="8" s="1"/>
  <c r="Q554" i="8" s="1"/>
  <c r="R554" i="8" s="1"/>
  <c r="S554" i="8" s="1"/>
  <c r="T554" i="8" s="1"/>
  <c r="U554" i="8" s="1"/>
  <c r="AI557" i="8"/>
  <c r="J34" i="6" s="1"/>
  <c r="AI558" i="8"/>
  <c r="I34" i="6"/>
  <c r="AI559" i="8"/>
  <c r="F34" i="6" s="1"/>
  <c r="AJ559" i="8"/>
  <c r="G566" i="8"/>
  <c r="H566" i="8"/>
  <c r="I566" i="8" s="1"/>
  <c r="C567" i="8" s="1"/>
  <c r="D567" i="8" s="1"/>
  <c r="E567" i="8" s="1"/>
  <c r="F567" i="8" s="1"/>
  <c r="G567" i="8" s="1"/>
  <c r="H567" i="8" s="1"/>
  <c r="I567" i="8" s="1"/>
  <c r="C568" i="8" s="1"/>
  <c r="D568" i="8" s="1"/>
  <c r="E568" i="8" s="1"/>
  <c r="F568" i="8" s="1"/>
  <c r="G568" i="8" s="1"/>
  <c r="H568" i="8" s="1"/>
  <c r="I568" i="8" s="1"/>
  <c r="C569" i="8" s="1"/>
  <c r="D569" i="8" s="1"/>
  <c r="E569" i="8" s="1"/>
  <c r="F569" i="8" s="1"/>
  <c r="G569" i="8" s="1"/>
  <c r="H569" i="8" s="1"/>
  <c r="I569" i="8" s="1"/>
  <c r="C570" i="8" s="1"/>
  <c r="D570" i="8" s="1"/>
  <c r="E570" i="8" s="1"/>
  <c r="F570" i="8" s="1"/>
  <c r="G570" i="8" s="1"/>
  <c r="H570" i="8" s="1"/>
  <c r="AB566" i="8"/>
  <c r="AC566" i="8"/>
  <c r="AD566" i="8"/>
  <c r="AE566" i="8" s="1"/>
  <c r="AF566" i="8" s="1"/>
  <c r="AG566" i="8" s="1"/>
  <c r="AA567" i="8" s="1"/>
  <c r="AB567" i="8" s="1"/>
  <c r="AC567" i="8" s="1"/>
  <c r="AD567" i="8" s="1"/>
  <c r="AE567" i="8" s="1"/>
  <c r="AF567" i="8" s="1"/>
  <c r="AG567" i="8" s="1"/>
  <c r="AA568" i="8" s="1"/>
  <c r="AB568" i="8" s="1"/>
  <c r="AC568" i="8" s="1"/>
  <c r="AD568" i="8" s="1"/>
  <c r="AE568" i="8" s="1"/>
  <c r="AF568" i="8" s="1"/>
  <c r="AG568" i="8" s="1"/>
  <c r="AA569" i="8" s="1"/>
  <c r="AB569" i="8" s="1"/>
  <c r="AC569" i="8" s="1"/>
  <c r="AD569" i="8" s="1"/>
  <c r="AE569" i="8" s="1"/>
  <c r="AF569" i="8" s="1"/>
  <c r="AG569" i="8" s="1"/>
  <c r="AA570" i="8" s="1"/>
  <c r="AB570" i="8" s="1"/>
  <c r="AC570" i="8" s="1"/>
  <c r="O567" i="8"/>
  <c r="P567" i="8"/>
  <c r="Q567" i="8" s="1"/>
  <c r="R567" i="8"/>
  <c r="S567" i="8"/>
  <c r="T567" i="8" s="1"/>
  <c r="U567" i="8" s="1"/>
  <c r="O568" i="8" s="1"/>
  <c r="P568" i="8" s="1"/>
  <c r="Q568" i="8" s="1"/>
  <c r="R568" i="8" s="1"/>
  <c r="S568" i="8" s="1"/>
  <c r="T568" i="8" s="1"/>
  <c r="U568" i="8" s="1"/>
  <c r="O569" i="8" s="1"/>
  <c r="P569" i="8" s="1"/>
  <c r="Q569" i="8" s="1"/>
  <c r="R569" i="8" s="1"/>
  <c r="S569" i="8" s="1"/>
  <c r="T569" i="8" s="1"/>
  <c r="U569" i="8" s="1"/>
  <c r="O570" i="8" s="1"/>
  <c r="P570" i="8" s="1"/>
  <c r="Q570" i="8" s="1"/>
  <c r="R570" i="8" s="1"/>
  <c r="S570" i="8" s="1"/>
  <c r="T570" i="8" s="1"/>
  <c r="U570" i="8" s="1"/>
  <c r="G575" i="8"/>
  <c r="H575" i="8"/>
  <c r="I575" i="8" s="1"/>
  <c r="C576" i="8"/>
  <c r="D576" i="8" s="1"/>
  <c r="E576" i="8" s="1"/>
  <c r="F576" i="8" s="1"/>
  <c r="G576" i="8" s="1"/>
  <c r="H576" i="8" s="1"/>
  <c r="I576" i="8" s="1"/>
  <c r="C577" i="8" s="1"/>
  <c r="D577" i="8" s="1"/>
  <c r="E577" i="8" s="1"/>
  <c r="F577" i="8" s="1"/>
  <c r="G577" i="8" s="1"/>
  <c r="H577" i="8" s="1"/>
  <c r="I577" i="8" s="1"/>
  <c r="C578" i="8" s="1"/>
  <c r="D578" i="8" s="1"/>
  <c r="E578" i="8" s="1"/>
  <c r="F578" i="8" s="1"/>
  <c r="G578" i="8" s="1"/>
  <c r="H578" i="8" s="1"/>
  <c r="I578" i="8" s="1"/>
  <c r="C579" i="8" s="1"/>
  <c r="D579" i="8" s="1"/>
  <c r="E579" i="8" s="1"/>
  <c r="F579" i="8" s="1"/>
  <c r="G579" i="8" s="1"/>
  <c r="U575" i="8"/>
  <c r="O576" i="8" s="1"/>
  <c r="P576" i="8" s="1"/>
  <c r="Q576" i="8" s="1"/>
  <c r="R576" i="8" s="1"/>
  <c r="S576" i="8" s="1"/>
  <c r="T576" i="8" s="1"/>
  <c r="U576" i="8" s="1"/>
  <c r="O577" i="8" s="1"/>
  <c r="P577" i="8" s="1"/>
  <c r="Q577" i="8" s="1"/>
  <c r="R577" i="8" s="1"/>
  <c r="S577" i="8" s="1"/>
  <c r="T577" i="8" s="1"/>
  <c r="U577" i="8" s="1"/>
  <c r="O578" i="8" s="1"/>
  <c r="P578" i="8" s="1"/>
  <c r="Q578" i="8" s="1"/>
  <c r="R578" i="8" s="1"/>
  <c r="S578" i="8" s="1"/>
  <c r="T578" i="8" s="1"/>
  <c r="U578" i="8" s="1"/>
  <c r="O579" i="8" s="1"/>
  <c r="P579" i="8" s="1"/>
  <c r="Q579" i="8" s="1"/>
  <c r="R579" i="8" s="1"/>
  <c r="S579" i="8" s="1"/>
  <c r="T579" i="8" s="1"/>
  <c r="U579" i="8" s="1"/>
  <c r="O580" i="8" s="1"/>
  <c r="AC575" i="8"/>
  <c r="AD575" i="8"/>
  <c r="AE575" i="8"/>
  <c r="AF575" i="8" s="1"/>
  <c r="AG575" i="8" s="1"/>
  <c r="AA576" i="8" s="1"/>
  <c r="AB576" i="8" s="1"/>
  <c r="AC576" i="8" s="1"/>
  <c r="AD576" i="8" s="1"/>
  <c r="AE576" i="8" s="1"/>
  <c r="AF576" i="8" s="1"/>
  <c r="AG576" i="8" s="1"/>
  <c r="AA577" i="8" s="1"/>
  <c r="AB577" i="8" s="1"/>
  <c r="AC577" i="8" s="1"/>
  <c r="AD577" i="8" s="1"/>
  <c r="AE577" i="8" s="1"/>
  <c r="AF577" i="8" s="1"/>
  <c r="AG577" i="8" s="1"/>
  <c r="AA578" i="8" s="1"/>
  <c r="AB578" i="8" s="1"/>
  <c r="AC578" i="8" s="1"/>
  <c r="AD578" i="8" s="1"/>
  <c r="AE578" i="8" s="1"/>
  <c r="AF578" i="8" s="1"/>
  <c r="AG578" i="8" s="1"/>
  <c r="AA579" i="8" s="1"/>
  <c r="AB579" i="8" s="1"/>
  <c r="AC579" i="8" s="1"/>
  <c r="G584" i="8"/>
  <c r="H584" i="8" s="1"/>
  <c r="I584" i="8" s="1"/>
  <c r="C585" i="8" s="1"/>
  <c r="D585" i="8" s="1"/>
  <c r="E585" i="8" s="1"/>
  <c r="F585" i="8" s="1"/>
  <c r="G585" i="8" s="1"/>
  <c r="H585" i="8" s="1"/>
  <c r="I585" i="8" s="1"/>
  <c r="C586" i="8" s="1"/>
  <c r="D586" i="8" s="1"/>
  <c r="E586" i="8" s="1"/>
  <c r="F586" i="8" s="1"/>
  <c r="G586" i="8" s="1"/>
  <c r="H586" i="8" s="1"/>
  <c r="I586" i="8" s="1"/>
  <c r="C587" i="8" s="1"/>
  <c r="D587" i="8" s="1"/>
  <c r="E587" i="8" s="1"/>
  <c r="F587" i="8" s="1"/>
  <c r="G587" i="8" s="1"/>
  <c r="H587" i="8" s="1"/>
  <c r="I587" i="8" s="1"/>
  <c r="C588" i="8" s="1"/>
  <c r="D588" i="8" s="1"/>
  <c r="E588" i="8" s="1"/>
  <c r="F588" i="8" s="1"/>
  <c r="G588" i="8" s="1"/>
  <c r="H588" i="8" s="1"/>
  <c r="AD584" i="8"/>
  <c r="AE584" i="8"/>
  <c r="AF584" i="8" s="1"/>
  <c r="AG584" i="8" s="1"/>
  <c r="AA585" i="8" s="1"/>
  <c r="AB585" i="8" s="1"/>
  <c r="AC585" i="8" s="1"/>
  <c r="AD585" i="8" s="1"/>
  <c r="AE585" i="8" s="1"/>
  <c r="AF585" i="8" s="1"/>
  <c r="AG585" i="8" s="1"/>
  <c r="AA586" i="8" s="1"/>
  <c r="AB586" i="8" s="1"/>
  <c r="AC586" i="8" s="1"/>
  <c r="AD586" i="8" s="1"/>
  <c r="AE586" i="8" s="1"/>
  <c r="AF586" i="8" s="1"/>
  <c r="AG586" i="8" s="1"/>
  <c r="AA587" i="8" s="1"/>
  <c r="AB587" i="8" s="1"/>
  <c r="AC587" i="8" s="1"/>
  <c r="AD587" i="8" s="1"/>
  <c r="AE587" i="8" s="1"/>
  <c r="AF587" i="8" s="1"/>
  <c r="AG587" i="8" s="1"/>
  <c r="AA588" i="8" s="1"/>
  <c r="AB588" i="8" s="1"/>
  <c r="AC588" i="8" s="1"/>
  <c r="AD588" i="8" s="1"/>
  <c r="O585" i="8"/>
  <c r="P585" i="8"/>
  <c r="Q585" i="8"/>
  <c r="R585" i="8"/>
  <c r="S585" i="8" s="1"/>
  <c r="T585" i="8" s="1"/>
  <c r="U585" i="8" s="1"/>
  <c r="O586" i="8" s="1"/>
  <c r="P586" i="8" s="1"/>
  <c r="Q586" i="8" s="1"/>
  <c r="R586" i="8" s="1"/>
  <c r="S586" i="8" s="1"/>
  <c r="T586" i="8" s="1"/>
  <c r="U586" i="8" s="1"/>
  <c r="O587" i="8" s="1"/>
  <c r="P587" i="8" s="1"/>
  <c r="Q587" i="8" s="1"/>
  <c r="R587" i="8" s="1"/>
  <c r="S587" i="8" s="1"/>
  <c r="T587" i="8" s="1"/>
  <c r="U587" i="8" s="1"/>
  <c r="O588" i="8" s="1"/>
  <c r="P588" i="8" s="1"/>
  <c r="Q588" i="8" s="1"/>
  <c r="R588" i="8" s="1"/>
  <c r="S588" i="8" s="1"/>
  <c r="T588" i="8" s="1"/>
  <c r="U588" i="8" s="1"/>
  <c r="O589" i="8" s="1"/>
  <c r="P589" i="8" s="1"/>
  <c r="H593" i="8"/>
  <c r="I593" i="8"/>
  <c r="C594" i="8" s="1"/>
  <c r="D594" i="8" s="1"/>
  <c r="E594" i="8" s="1"/>
  <c r="F594" i="8" s="1"/>
  <c r="G594" i="8" s="1"/>
  <c r="H594" i="8" s="1"/>
  <c r="I594" i="8" s="1"/>
  <c r="C595" i="8" s="1"/>
  <c r="D595" i="8" s="1"/>
  <c r="E595" i="8" s="1"/>
  <c r="F595" i="8" s="1"/>
  <c r="G595" i="8" s="1"/>
  <c r="H595" i="8" s="1"/>
  <c r="I595" i="8" s="1"/>
  <c r="C596" i="8" s="1"/>
  <c r="D596" i="8" s="1"/>
  <c r="E596" i="8" s="1"/>
  <c r="F596" i="8" s="1"/>
  <c r="G596" i="8" s="1"/>
  <c r="H596" i="8" s="1"/>
  <c r="I596" i="8" s="1"/>
  <c r="C597" i="8" s="1"/>
  <c r="D597" i="8" s="1"/>
  <c r="E597" i="8" s="1"/>
  <c r="F597" i="8" s="1"/>
  <c r="G597" i="8" s="1"/>
  <c r="H597" i="8" s="1"/>
  <c r="I597" i="8" s="1"/>
  <c r="P593" i="8"/>
  <c r="Q593" i="8"/>
  <c r="R593" i="8"/>
  <c r="S593" i="8"/>
  <c r="T593" i="8" s="1"/>
  <c r="U593" i="8" s="1"/>
  <c r="O594" i="8" s="1"/>
  <c r="P594" i="8" s="1"/>
  <c r="Q594" i="8" s="1"/>
  <c r="R594" i="8" s="1"/>
  <c r="S594" i="8" s="1"/>
  <c r="T594" i="8" s="1"/>
  <c r="U594" i="8" s="1"/>
  <c r="O595" i="8" s="1"/>
  <c r="P595" i="8" s="1"/>
  <c r="Q595" i="8" s="1"/>
  <c r="R595" i="8" s="1"/>
  <c r="S595" i="8" s="1"/>
  <c r="T595" i="8" s="1"/>
  <c r="U595" i="8" s="1"/>
  <c r="O596" i="8" s="1"/>
  <c r="P596" i="8" s="1"/>
  <c r="Q596" i="8" s="1"/>
  <c r="R596" i="8" s="1"/>
  <c r="S596" i="8" s="1"/>
  <c r="T596" i="8" s="1"/>
  <c r="U596" i="8" s="1"/>
  <c r="O597" i="8" s="1"/>
  <c r="P597" i="8" s="1"/>
  <c r="AD593" i="8"/>
  <c r="AE593" i="8"/>
  <c r="AF593" i="8"/>
  <c r="AG593" i="8" s="1"/>
  <c r="AA594" i="8" s="1"/>
  <c r="AB594" i="8" s="1"/>
  <c r="AC594" i="8" s="1"/>
  <c r="AD594" i="8" s="1"/>
  <c r="AE594" i="8" s="1"/>
  <c r="AF594" i="8" s="1"/>
  <c r="AG594" i="8" s="1"/>
  <c r="AA595" i="8" s="1"/>
  <c r="AB595" i="8" s="1"/>
  <c r="AC595" i="8" s="1"/>
  <c r="AD595" i="8" s="1"/>
  <c r="AE595" i="8" s="1"/>
  <c r="AF595" i="8" s="1"/>
  <c r="AG595" i="8" s="1"/>
  <c r="AA596" i="8" s="1"/>
  <c r="AB596" i="8" s="1"/>
  <c r="AC596" i="8" s="1"/>
  <c r="AD596" i="8" s="1"/>
  <c r="AE596" i="8" s="1"/>
  <c r="AF596" i="8" s="1"/>
  <c r="AG596" i="8" s="1"/>
  <c r="AA597" i="8" s="1"/>
  <c r="AB597" i="8" s="1"/>
  <c r="AC597" i="8" s="1"/>
  <c r="AD597" i="8" s="1"/>
  <c r="AE597" i="8" s="1"/>
  <c r="AI600" i="8"/>
  <c r="AI601" i="8"/>
  <c r="AI602" i="8"/>
  <c r="AJ602" i="8"/>
  <c r="G34" i="6"/>
  <c r="H34" i="6"/>
  <c r="H32" i="6"/>
  <c r="H31" i="6"/>
  <c r="G31" i="6"/>
  <c r="G259" i="7"/>
  <c r="G239" i="7"/>
  <c r="K34" i="6"/>
  <c r="G156" i="7"/>
  <c r="G77" i="7"/>
  <c r="G16" i="7"/>
  <c r="G199" i="7"/>
  <c r="K32" i="6" s="1"/>
  <c r="G116" i="7"/>
  <c r="G46" i="7"/>
  <c r="H379" i="10"/>
  <c r="J378" i="10" s="1"/>
  <c r="H47" i="10"/>
  <c r="J95" i="10"/>
  <c r="G361" i="10"/>
  <c r="M119" i="6"/>
  <c r="F124" i="6"/>
  <c r="J124" i="6" s="1"/>
  <c r="L124" i="6" s="1"/>
  <c r="F125" i="6"/>
  <c r="F126" i="6"/>
  <c r="G69" i="6"/>
  <c r="I69" i="6"/>
  <c r="G68" i="6"/>
  <c r="F387" i="10"/>
  <c r="E208" i="6"/>
  <c r="E207" i="6"/>
  <c r="F144" i="6"/>
  <c r="F143" i="6"/>
  <c r="K143" i="6" s="1"/>
  <c r="L143" i="6" s="1"/>
  <c r="F142" i="6"/>
  <c r="E86" i="6"/>
  <c r="E142" i="6"/>
  <c r="E143" i="6"/>
  <c r="E144" i="6"/>
  <c r="I144" i="6" s="1"/>
  <c r="E106" i="6"/>
  <c r="E107" i="6"/>
  <c r="E108" i="6"/>
  <c r="I108" i="6" s="1"/>
  <c r="E88" i="6"/>
  <c r="I88" i="6" s="1"/>
  <c r="K100" i="1"/>
  <c r="F54" i="1"/>
  <c r="I111" i="10"/>
  <c r="I141" i="1"/>
  <c r="J52" i="1"/>
  <c r="J48" i="1"/>
  <c r="J44" i="1"/>
  <c r="J40" i="1"/>
  <c r="K38" i="1"/>
  <c r="J36" i="1"/>
  <c r="J54" i="1" s="1"/>
  <c r="K34" i="1"/>
  <c r="K126" i="1"/>
  <c r="K40" i="1"/>
  <c r="G88" i="6"/>
  <c r="G108" i="6"/>
  <c r="G106" i="6"/>
  <c r="I106" i="6"/>
  <c r="G143" i="6"/>
  <c r="I143" i="6"/>
  <c r="K142" i="6"/>
  <c r="H142" i="6"/>
  <c r="K144" i="6"/>
  <c r="H144" i="6"/>
  <c r="G208" i="6"/>
  <c r="I208" i="6"/>
  <c r="H125" i="6"/>
  <c r="I96" i="1"/>
  <c r="I31" i="10"/>
  <c r="J104" i="1"/>
  <c r="J110" i="1"/>
  <c r="J106" i="1"/>
  <c r="J118" i="1"/>
  <c r="K141" i="1"/>
  <c r="H191" i="10" s="1"/>
  <c r="D5" i="10"/>
  <c r="H7" i="10" s="1"/>
  <c r="H17" i="10"/>
  <c r="D53" i="10"/>
  <c r="H56" i="10" s="1"/>
  <c r="G68" i="10"/>
  <c r="K68" i="10" s="1"/>
  <c r="G111" i="10"/>
  <c r="J141" i="1"/>
  <c r="I324" i="10"/>
  <c r="I328" i="10"/>
  <c r="K328" i="10" s="1"/>
  <c r="I332" i="10"/>
  <c r="K332" i="10"/>
  <c r="I336" i="10"/>
  <c r="K336" i="10" s="1"/>
  <c r="I340" i="10"/>
  <c r="K340" i="10"/>
  <c r="K382" i="10"/>
  <c r="K383" i="10" s="1"/>
  <c r="K385" i="10" s="1"/>
  <c r="K386" i="10" s="1"/>
  <c r="D8" i="14"/>
  <c r="D11" i="14" s="1"/>
  <c r="D10" i="14"/>
  <c r="E10" i="14"/>
  <c r="E171" i="10" s="1"/>
  <c r="G70" i="10"/>
  <c r="K70" i="10" s="1"/>
  <c r="G285" i="10"/>
  <c r="G351" i="10"/>
  <c r="G353" i="10"/>
  <c r="K188" i="1" s="1"/>
  <c r="I427" i="10"/>
  <c r="D9" i="14"/>
  <c r="E9" i="14"/>
  <c r="E204" i="10" s="1"/>
  <c r="G107" i="6"/>
  <c r="G144" i="6"/>
  <c r="J144" i="6"/>
  <c r="G142" i="6"/>
  <c r="I142" i="6"/>
  <c r="L142" i="6" s="1"/>
  <c r="J142" i="6"/>
  <c r="G86" i="6"/>
  <c r="I86" i="6"/>
  <c r="H143" i="6"/>
  <c r="J143" i="6"/>
  <c r="G207" i="6"/>
  <c r="H126" i="6"/>
  <c r="K124" i="6"/>
  <c r="J126" i="1"/>
  <c r="H49" i="10"/>
  <c r="J41" i="10" s="1"/>
  <c r="D121" i="10"/>
  <c r="G403" i="10"/>
  <c r="D137" i="10"/>
  <c r="D138" i="10"/>
  <c r="E205" i="10"/>
  <c r="D122" i="10"/>
  <c r="D269" i="10"/>
  <c r="G404" i="10"/>
  <c r="H55" i="10"/>
  <c r="H57" i="10"/>
  <c r="H58" i="10"/>
  <c r="H59" i="10"/>
  <c r="H61" i="10"/>
  <c r="J97" i="10"/>
  <c r="J91" i="10"/>
  <c r="E8" i="14"/>
  <c r="D267" i="10" s="1"/>
  <c r="K324" i="10"/>
  <c r="I342" i="10"/>
  <c r="H8" i="10"/>
  <c r="H9" i="10"/>
  <c r="H10" i="10"/>
  <c r="H12" i="10"/>
  <c r="H13" i="10"/>
  <c r="H157" i="10"/>
  <c r="J257" i="1"/>
  <c r="L144" i="6"/>
  <c r="M144" i="6" s="1"/>
  <c r="D150" i="6" s="1"/>
  <c r="E150" i="6" s="1"/>
  <c r="E203" i="10"/>
  <c r="D120" i="10"/>
  <c r="G402" i="10"/>
  <c r="E11" i="14" l="1"/>
  <c r="D12" i="14"/>
  <c r="J342" i="10"/>
  <c r="M142" i="6"/>
  <c r="L145" i="6"/>
  <c r="H15" i="10"/>
  <c r="M138" i="6"/>
  <c r="M124" i="6"/>
  <c r="M143" i="6"/>
  <c r="D149" i="6" s="1"/>
  <c r="E149" i="6" s="1"/>
  <c r="D136" i="10"/>
  <c r="D268" i="10"/>
  <c r="E169" i="10"/>
  <c r="H11" i="10"/>
  <c r="H60" i="10"/>
  <c r="H63" i="10" s="1"/>
  <c r="J55" i="10" s="1"/>
  <c r="E170" i="10"/>
  <c r="H124" i="6"/>
  <c r="F33" i="6"/>
  <c r="G136" i="7"/>
  <c r="G96" i="7"/>
  <c r="G219" i="7"/>
  <c r="K33" i="6" s="1"/>
  <c r="G31" i="7"/>
  <c r="E162" i="6"/>
  <c r="C162" i="6"/>
  <c r="E67" i="6"/>
  <c r="C67" i="6"/>
  <c r="G11" i="6"/>
  <c r="E206" i="6"/>
  <c r="E188" i="6"/>
  <c r="C188" i="6"/>
  <c r="E125" i="6"/>
  <c r="C125" i="6"/>
  <c r="G25" i="6"/>
  <c r="I25" i="6"/>
  <c r="G163" i="6"/>
  <c r="G161" i="6"/>
  <c r="G124" i="6"/>
  <c r="D87" i="6"/>
  <c r="C87" i="6" s="1"/>
  <c r="G12" i="6"/>
  <c r="C11" i="6"/>
  <c r="C68" i="6"/>
  <c r="E26" i="6"/>
  <c r="E24" i="6"/>
  <c r="E23" i="6"/>
  <c r="E186" i="6"/>
  <c r="E126" i="6"/>
  <c r="E10" i="6"/>
  <c r="K36" i="1"/>
  <c r="B60" i="5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AR81" i="5"/>
  <c r="AR79" i="5"/>
  <c r="AB79" i="5"/>
  <c r="AR77" i="5"/>
  <c r="AB77" i="5"/>
  <c r="AR75" i="5"/>
  <c r="AB75" i="5"/>
  <c r="AR73" i="5"/>
  <c r="AJ73" i="5"/>
  <c r="AB73" i="5"/>
  <c r="AR71" i="5"/>
  <c r="AJ71" i="5"/>
  <c r="AB71" i="5"/>
  <c r="AR69" i="5"/>
  <c r="AJ69" i="5"/>
  <c r="AB69" i="5"/>
  <c r="AR67" i="5"/>
  <c r="AJ67" i="5"/>
  <c r="AB67" i="5"/>
  <c r="AR65" i="5"/>
  <c r="AJ65" i="5"/>
  <c r="AB65" i="5"/>
  <c r="AV63" i="5"/>
  <c r="AR63" i="5"/>
  <c r="AJ63" i="5"/>
  <c r="AB63" i="5"/>
  <c r="AV61" i="5"/>
  <c r="AR61" i="5"/>
  <c r="AJ61" i="5"/>
  <c r="AF61" i="5"/>
  <c r="AB61" i="5"/>
  <c r="AV59" i="5"/>
  <c r="AR59" i="5"/>
  <c r="AJ59" i="5"/>
  <c r="AF59" i="5"/>
  <c r="AB59" i="5"/>
  <c r="AU58" i="5"/>
  <c r="AQ58" i="5"/>
  <c r="AM58" i="5"/>
  <c r="AE58" i="5"/>
  <c r="AW57" i="5"/>
  <c r="AO57" i="5"/>
  <c r="AK57" i="5"/>
  <c r="AG57" i="5"/>
  <c r="AU56" i="5"/>
  <c r="AQ56" i="5"/>
  <c r="AM56" i="5"/>
  <c r="AE56" i="5"/>
  <c r="AW55" i="5"/>
  <c r="AO55" i="5"/>
  <c r="AK55" i="5"/>
  <c r="AG55" i="5"/>
  <c r="AU54" i="5"/>
  <c r="AQ54" i="5"/>
  <c r="AM54" i="5"/>
  <c r="AE54" i="5"/>
  <c r="AW53" i="5"/>
  <c r="AO53" i="5"/>
  <c r="AK53" i="5"/>
  <c r="AG53" i="5"/>
  <c r="AU52" i="5"/>
  <c r="AQ52" i="5"/>
  <c r="AM52" i="5"/>
  <c r="AE52" i="5"/>
  <c r="AW51" i="5"/>
  <c r="AO51" i="5"/>
  <c r="AK51" i="5"/>
  <c r="AG51" i="5"/>
  <c r="AU50" i="5"/>
  <c r="AQ50" i="5"/>
  <c r="AM50" i="5"/>
  <c r="AE50" i="5"/>
  <c r="AW49" i="5"/>
  <c r="AO49" i="5"/>
  <c r="AK49" i="5"/>
  <c r="AG49" i="5"/>
  <c r="AO48" i="5"/>
  <c r="AJ48" i="5"/>
  <c r="AF48" i="5"/>
  <c r="AU47" i="5"/>
  <c r="AQ47" i="5"/>
  <c r="AF47" i="5"/>
  <c r="AB47" i="5"/>
  <c r="AJ45" i="5"/>
  <c r="AE45" i="5"/>
  <c r="AW44" i="5"/>
  <c r="AR44" i="5"/>
  <c r="AV42" i="5"/>
  <c r="AK42" i="5"/>
  <c r="AG42" i="5"/>
  <c r="AB42" i="5"/>
  <c r="AV41" i="5"/>
  <c r="AR41" i="5"/>
  <c r="AM41" i="5"/>
  <c r="AO40" i="5"/>
  <c r="AJ40" i="5"/>
  <c r="AF40" i="5"/>
  <c r="AU39" i="5"/>
  <c r="AQ39" i="5"/>
  <c r="AF39" i="5"/>
  <c r="AB39" i="5"/>
  <c r="AJ37" i="5"/>
  <c r="AE37" i="5"/>
  <c r="AW36" i="5"/>
  <c r="AR36" i="5"/>
  <c r="AV34" i="5"/>
  <c r="AK34" i="5"/>
  <c r="AG34" i="5"/>
  <c r="AB34" i="5"/>
  <c r="AV33" i="5"/>
  <c r="AR33" i="5"/>
  <c r="AM33" i="5"/>
  <c r="AO32" i="5"/>
  <c r="AJ32" i="5"/>
  <c r="AF32" i="5"/>
  <c r="AU31" i="5"/>
  <c r="AQ31" i="5"/>
  <c r="AB31" i="5"/>
  <c r="AE29" i="5"/>
  <c r="AW28" i="5"/>
  <c r="AR28" i="5"/>
  <c r="AV26" i="5"/>
  <c r="AK26" i="5"/>
  <c r="AG26" i="5"/>
  <c r="AB26" i="5"/>
  <c r="AV25" i="5"/>
  <c r="AR25" i="5"/>
  <c r="AM25" i="5"/>
  <c r="AG25" i="5"/>
  <c r="AK24" i="5"/>
  <c r="AQ23" i="5"/>
  <c r="AW22" i="5"/>
  <c r="AB22" i="5"/>
  <c r="AW21" i="5"/>
  <c r="AV20" i="5"/>
  <c r="AG20" i="5"/>
  <c r="AU19" i="5"/>
  <c r="AM18" i="5"/>
  <c r="AW17" i="5"/>
  <c r="AE17" i="5"/>
  <c r="AW16" i="5"/>
  <c r="AO16" i="5"/>
  <c r="AK15" i="5"/>
  <c r="AU13" i="5"/>
  <c r="AO13" i="5"/>
  <c r="AE13" i="5"/>
  <c r="AU12" i="5"/>
  <c r="AM12" i="5"/>
  <c r="AE12" i="5"/>
  <c r="AW11" i="5"/>
  <c r="AM10" i="5"/>
  <c r="AW13" i="5"/>
  <c r="AW14" i="5"/>
  <c r="AW12" i="5"/>
  <c r="AW25" i="5"/>
  <c r="AW27" i="5"/>
  <c r="AW29" i="5"/>
  <c r="AW31" i="5"/>
  <c r="AW33" i="5"/>
  <c r="AW35" i="5"/>
  <c r="AW37" i="5"/>
  <c r="AW39" i="5"/>
  <c r="AW41" i="5"/>
  <c r="AW43" i="5"/>
  <c r="AW45" i="5"/>
  <c r="AW47" i="5"/>
  <c r="AR9" i="5"/>
  <c r="AR11" i="5"/>
  <c r="AR13" i="5"/>
  <c r="AR15" i="5"/>
  <c r="AR17" i="5"/>
  <c r="AR14" i="5"/>
  <c r="AR19" i="5"/>
  <c r="AR21" i="5"/>
  <c r="AR23" i="5"/>
  <c r="AR10" i="5"/>
  <c r="AM14" i="5"/>
  <c r="AM15" i="5"/>
  <c r="AM11" i="5"/>
  <c r="AM17" i="5"/>
  <c r="AM26" i="5"/>
  <c r="AM28" i="5"/>
  <c r="AM30" i="5"/>
  <c r="AM32" i="5"/>
  <c r="AM34" i="5"/>
  <c r="AM36" i="5"/>
  <c r="AM38" i="5"/>
  <c r="AM40" i="5"/>
  <c r="AM42" i="5"/>
  <c r="AM44" i="5"/>
  <c r="AM46" i="5"/>
  <c r="AM48" i="5"/>
  <c r="AG13" i="5"/>
  <c r="AG14" i="5"/>
  <c r="AG11" i="5"/>
  <c r="AG15" i="5"/>
  <c r="AG18" i="5"/>
  <c r="AG27" i="5"/>
  <c r="AG29" i="5"/>
  <c r="AG31" i="5"/>
  <c r="AG33" i="5"/>
  <c r="AG35" i="5"/>
  <c r="AG37" i="5"/>
  <c r="AG39" i="5"/>
  <c r="AG41" i="5"/>
  <c r="AG43" i="5"/>
  <c r="AG45" i="5"/>
  <c r="AG47" i="5"/>
  <c r="AB9" i="5"/>
  <c r="AB11" i="5"/>
  <c r="AB13" i="5"/>
  <c r="AB15" i="5"/>
  <c r="AB17" i="5"/>
  <c r="AB14" i="5"/>
  <c r="AB19" i="5"/>
  <c r="AB21" i="5"/>
  <c r="AB23" i="5"/>
  <c r="AB25" i="5"/>
  <c r="AB12" i="5"/>
  <c r="AG30" i="5"/>
  <c r="AR29" i="5"/>
  <c r="AM29" i="5"/>
  <c r="AB27" i="5"/>
  <c r="AG24" i="5"/>
  <c r="AM22" i="5"/>
  <c r="AM21" i="5"/>
  <c r="AG21" i="5"/>
  <c r="AR20" i="5"/>
  <c r="AW18" i="5"/>
  <c r="AM16" i="5"/>
  <c r="AE16" i="5"/>
  <c r="AW15" i="5"/>
  <c r="AR12" i="5"/>
  <c r="AG10" i="5"/>
  <c r="AV9" i="5"/>
  <c r="AV11" i="5"/>
  <c r="AV13" i="5"/>
  <c r="AV15" i="5"/>
  <c r="AV17" i="5"/>
  <c r="AV12" i="5"/>
  <c r="AV19" i="5"/>
  <c r="AV21" i="5"/>
  <c r="AV23" i="5"/>
  <c r="AV16" i="5"/>
  <c r="AQ12" i="5"/>
  <c r="AQ13" i="5"/>
  <c r="AQ9" i="5"/>
  <c r="AQ16" i="5"/>
  <c r="AQ26" i="5"/>
  <c r="AQ28" i="5"/>
  <c r="AQ30" i="5"/>
  <c r="AQ32" i="5"/>
  <c r="AQ34" i="5"/>
  <c r="AQ36" i="5"/>
  <c r="AQ38" i="5"/>
  <c r="AQ40" i="5"/>
  <c r="AQ42" i="5"/>
  <c r="AQ44" i="5"/>
  <c r="AQ46" i="5"/>
  <c r="AQ48" i="5"/>
  <c r="AK11" i="5"/>
  <c r="AK12" i="5"/>
  <c r="AK9" i="5"/>
  <c r="AK10" i="5"/>
  <c r="AK13" i="5"/>
  <c r="AK16" i="5"/>
  <c r="AK19" i="5"/>
  <c r="AK21" i="5"/>
  <c r="AK23" i="5"/>
  <c r="AK25" i="5"/>
  <c r="AK27" i="5"/>
  <c r="AK29" i="5"/>
  <c r="AK31" i="5"/>
  <c r="AK33" i="5"/>
  <c r="AK35" i="5"/>
  <c r="AK37" i="5"/>
  <c r="AK39" i="5"/>
  <c r="AK41" i="5"/>
  <c r="AK43" i="5"/>
  <c r="AK45" i="5"/>
  <c r="AK47" i="5"/>
  <c r="AF9" i="5"/>
  <c r="AF11" i="5"/>
  <c r="AF13" i="5"/>
  <c r="AF15" i="5"/>
  <c r="AF17" i="5"/>
  <c r="AF12" i="5"/>
  <c r="AF19" i="5"/>
  <c r="AF21" i="5"/>
  <c r="AF23" i="5"/>
  <c r="AF25" i="5"/>
  <c r="AF14" i="5"/>
  <c r="AF16" i="5"/>
  <c r="AW19" i="5"/>
  <c r="AG17" i="5"/>
  <c r="AR16" i="5"/>
  <c r="AG12" i="5"/>
  <c r="AW10" i="5"/>
  <c r="AU10" i="5"/>
  <c r="AU11" i="5"/>
  <c r="AU14" i="5"/>
  <c r="AU17" i="5"/>
  <c r="AU18" i="5"/>
  <c r="AU20" i="5"/>
  <c r="AU22" i="5"/>
  <c r="AU24" i="5"/>
  <c r="AU26" i="5"/>
  <c r="AU28" i="5"/>
  <c r="AU30" i="5"/>
  <c r="AU32" i="5"/>
  <c r="AU34" i="5"/>
  <c r="AU36" i="5"/>
  <c r="AU38" i="5"/>
  <c r="AU40" i="5"/>
  <c r="AU42" i="5"/>
  <c r="AU44" i="5"/>
  <c r="AU46" i="5"/>
  <c r="AU48" i="5"/>
  <c r="AO9" i="5"/>
  <c r="AO10" i="5"/>
  <c r="AO17" i="5"/>
  <c r="AO18" i="5"/>
  <c r="AO12" i="5"/>
  <c r="AO15" i="5"/>
  <c r="AO19" i="5"/>
  <c r="AO20" i="5"/>
  <c r="AO21" i="5"/>
  <c r="AO22" i="5"/>
  <c r="AO23" i="5"/>
  <c r="AO24" i="5"/>
  <c r="AO25" i="5"/>
  <c r="AO27" i="5"/>
  <c r="AO29" i="5"/>
  <c r="AO31" i="5"/>
  <c r="AO33" i="5"/>
  <c r="AO35" i="5"/>
  <c r="AO37" i="5"/>
  <c r="AO39" i="5"/>
  <c r="AO41" i="5"/>
  <c r="AO43" i="5"/>
  <c r="AO45" i="5"/>
  <c r="AO47" i="5"/>
  <c r="AJ9" i="5"/>
  <c r="AJ11" i="5"/>
  <c r="AJ13" i="5"/>
  <c r="AJ15" i="5"/>
  <c r="AJ17" i="5"/>
  <c r="AJ10" i="5"/>
  <c r="AJ18" i="5"/>
  <c r="AJ19" i="5"/>
  <c r="AJ21" i="5"/>
  <c r="AJ23" i="5"/>
  <c r="AJ25" i="5"/>
  <c r="AJ20" i="5"/>
  <c r="AJ22" i="5"/>
  <c r="AJ24" i="5"/>
  <c r="AE10" i="5"/>
  <c r="AE11" i="5"/>
  <c r="AE18" i="5"/>
  <c r="AE9" i="5"/>
  <c r="AE19" i="5"/>
  <c r="AE20" i="5"/>
  <c r="AE21" i="5"/>
  <c r="AE22" i="5"/>
  <c r="AE23" i="5"/>
  <c r="AE24" i="5"/>
  <c r="AE25" i="5"/>
  <c r="AE26" i="5"/>
  <c r="AE28" i="5"/>
  <c r="AE30" i="5"/>
  <c r="AE32" i="5"/>
  <c r="AE34" i="5"/>
  <c r="AE36" i="5"/>
  <c r="AE38" i="5"/>
  <c r="AE40" i="5"/>
  <c r="AE42" i="5"/>
  <c r="AE44" i="5"/>
  <c r="AE46" i="5"/>
  <c r="AE48" i="5"/>
  <c r="F211" i="1"/>
  <c r="F212" i="1" s="1"/>
  <c r="C212" i="1"/>
  <c r="F157" i="1"/>
  <c r="C158" i="1"/>
  <c r="AN9" i="5"/>
  <c r="AN11" i="5"/>
  <c r="AN13" i="5"/>
  <c r="AN15" i="5"/>
  <c r="AN17" i="5"/>
  <c r="I18" i="1"/>
  <c r="AD5" i="5"/>
  <c r="AH5" i="5"/>
  <c r="AL5" i="5"/>
  <c r="AP5" i="5"/>
  <c r="AT5" i="5"/>
  <c r="AX5" i="5"/>
  <c r="I23" i="6" l="1"/>
  <c r="J23" i="6"/>
  <c r="G23" i="6"/>
  <c r="G67" i="6"/>
  <c r="I67" i="6"/>
  <c r="J67" i="6"/>
  <c r="AL10" i="5"/>
  <c r="AL12" i="5"/>
  <c r="AL14" i="5"/>
  <c r="AL16" i="5"/>
  <c r="AL18" i="5"/>
  <c r="AL13" i="5"/>
  <c r="AL20" i="5"/>
  <c r="AL22" i="5"/>
  <c r="AL24" i="5"/>
  <c r="AL15" i="5"/>
  <c r="AL21" i="5"/>
  <c r="AL26" i="5"/>
  <c r="AL29" i="5"/>
  <c r="AL19" i="5"/>
  <c r="AL27" i="5"/>
  <c r="AL32" i="5"/>
  <c r="AL35" i="5"/>
  <c r="AL40" i="5"/>
  <c r="AL43" i="5"/>
  <c r="AL9" i="5"/>
  <c r="AL11" i="5"/>
  <c r="AL17" i="5"/>
  <c r="AL23" i="5"/>
  <c r="AL28" i="5"/>
  <c r="AL31" i="5"/>
  <c r="AL36" i="5"/>
  <c r="AL39" i="5"/>
  <c r="AL44" i="5"/>
  <c r="AL47" i="5"/>
  <c r="AL60" i="5"/>
  <c r="AL62" i="5"/>
  <c r="AL64" i="5"/>
  <c r="AL66" i="5"/>
  <c r="AL68" i="5"/>
  <c r="AL70" i="5"/>
  <c r="AL72" i="5"/>
  <c r="AL74" i="5"/>
  <c r="AL76" i="5"/>
  <c r="AL78" i="5"/>
  <c r="AL80" i="5"/>
  <c r="AL82" i="5"/>
  <c r="AL84" i="5"/>
  <c r="AL86" i="5"/>
  <c r="AL88" i="5"/>
  <c r="AL90" i="5"/>
  <c r="AL92" i="5"/>
  <c r="AL25" i="5"/>
  <c r="AL38" i="5"/>
  <c r="AL48" i="5"/>
  <c r="AL52" i="5"/>
  <c r="AL55" i="5"/>
  <c r="AL65" i="5"/>
  <c r="AL69" i="5"/>
  <c r="AL73" i="5"/>
  <c r="AL30" i="5"/>
  <c r="AL33" i="5"/>
  <c r="AL37" i="5"/>
  <c r="AL41" i="5"/>
  <c r="AL50" i="5"/>
  <c r="AL53" i="5"/>
  <c r="AL58" i="5"/>
  <c r="AL79" i="5"/>
  <c r="AL81" i="5"/>
  <c r="AL83" i="5"/>
  <c r="AL34" i="5"/>
  <c r="AL42" i="5"/>
  <c r="AL46" i="5"/>
  <c r="AL51" i="5"/>
  <c r="AL56" i="5"/>
  <c r="AL59" i="5"/>
  <c r="AL61" i="5"/>
  <c r="AL67" i="5"/>
  <c r="AL71" i="5"/>
  <c r="AL77" i="5"/>
  <c r="AL45" i="5"/>
  <c r="AL49" i="5"/>
  <c r="AL54" i="5"/>
  <c r="AL57" i="5"/>
  <c r="AL63" i="5"/>
  <c r="AL75" i="5"/>
  <c r="AL87" i="5"/>
  <c r="AL95" i="5"/>
  <c r="AL97" i="5"/>
  <c r="AL99" i="5"/>
  <c r="AL101" i="5"/>
  <c r="AL103" i="5"/>
  <c r="AL105" i="5"/>
  <c r="AL107" i="5"/>
  <c r="AL109" i="5"/>
  <c r="AL94" i="5"/>
  <c r="AL102" i="5"/>
  <c r="AL110" i="5"/>
  <c r="AL89" i="5"/>
  <c r="AL93" i="5"/>
  <c r="AL96" i="5"/>
  <c r="AL104" i="5"/>
  <c r="AL85" i="5"/>
  <c r="AL91" i="5"/>
  <c r="AL98" i="5"/>
  <c r="AL106" i="5"/>
  <c r="AL100" i="5"/>
  <c r="AL108" i="5"/>
  <c r="F158" i="1"/>
  <c r="J101" i="6"/>
  <c r="G26" i="6"/>
  <c r="I26" i="6"/>
  <c r="AX10" i="5"/>
  <c r="AX12" i="5"/>
  <c r="AX14" i="5"/>
  <c r="AX16" i="5"/>
  <c r="AX15" i="5"/>
  <c r="AX18" i="5"/>
  <c r="AX20" i="5"/>
  <c r="AX22" i="5"/>
  <c r="AX24" i="5"/>
  <c r="AX9" i="5"/>
  <c r="AX11" i="5"/>
  <c r="AX13" i="5"/>
  <c r="AX17" i="5"/>
  <c r="AX21" i="5"/>
  <c r="AX25" i="5"/>
  <c r="AX28" i="5"/>
  <c r="AX19" i="5"/>
  <c r="AX26" i="5"/>
  <c r="AX31" i="5"/>
  <c r="AX34" i="5"/>
  <c r="AX39" i="5"/>
  <c r="AX42" i="5"/>
  <c r="AX23" i="5"/>
  <c r="AX27" i="5"/>
  <c r="AX30" i="5"/>
  <c r="AX35" i="5"/>
  <c r="AX38" i="5"/>
  <c r="AX43" i="5"/>
  <c r="AX46" i="5"/>
  <c r="AX60" i="5"/>
  <c r="AX62" i="5"/>
  <c r="AX64" i="5"/>
  <c r="AX66" i="5"/>
  <c r="AX68" i="5"/>
  <c r="AX70" i="5"/>
  <c r="AX72" i="5"/>
  <c r="AX74" i="5"/>
  <c r="AX76" i="5"/>
  <c r="AX78" i="5"/>
  <c r="AX80" i="5"/>
  <c r="AX82" i="5"/>
  <c r="AX84" i="5"/>
  <c r="AX86" i="5"/>
  <c r="AX88" i="5"/>
  <c r="AX90" i="5"/>
  <c r="AX92" i="5"/>
  <c r="AX29" i="5"/>
  <c r="AX51" i="5"/>
  <c r="AX54" i="5"/>
  <c r="AX59" i="5"/>
  <c r="AX61" i="5"/>
  <c r="AX79" i="5"/>
  <c r="AX81" i="5"/>
  <c r="AX32" i="5"/>
  <c r="AX36" i="5"/>
  <c r="AX37" i="5"/>
  <c r="AX49" i="5"/>
  <c r="AX52" i="5"/>
  <c r="AX57" i="5"/>
  <c r="AX63" i="5"/>
  <c r="AX67" i="5"/>
  <c r="AX71" i="5"/>
  <c r="AX77" i="5"/>
  <c r="AX83" i="5"/>
  <c r="AX33" i="5"/>
  <c r="AX41" i="5"/>
  <c r="AX44" i="5"/>
  <c r="AX50" i="5"/>
  <c r="AX55" i="5"/>
  <c r="AX58" i="5"/>
  <c r="AX75" i="5"/>
  <c r="AX40" i="5"/>
  <c r="AX45" i="5"/>
  <c r="AX47" i="5"/>
  <c r="AX48" i="5"/>
  <c r="AX53" i="5"/>
  <c r="AX56" i="5"/>
  <c r="AX65" i="5"/>
  <c r="AX69" i="5"/>
  <c r="AX73" i="5"/>
  <c r="AX87" i="5"/>
  <c r="AX95" i="5"/>
  <c r="AX97" i="5"/>
  <c r="AX99" i="5"/>
  <c r="AX101" i="5"/>
  <c r="AX103" i="5"/>
  <c r="AX105" i="5"/>
  <c r="AX107" i="5"/>
  <c r="AX109" i="5"/>
  <c r="AX94" i="5"/>
  <c r="AX102" i="5"/>
  <c r="AX110" i="5"/>
  <c r="AX89" i="5"/>
  <c r="AX93" i="5"/>
  <c r="AX96" i="5"/>
  <c r="AX104" i="5"/>
  <c r="AX85" i="5"/>
  <c r="AX91" i="5"/>
  <c r="AX98" i="5"/>
  <c r="AX106" i="5"/>
  <c r="AX100" i="5"/>
  <c r="AX108" i="5"/>
  <c r="AH10" i="5"/>
  <c r="AH12" i="5"/>
  <c r="AH14" i="5"/>
  <c r="AH16" i="5"/>
  <c r="AH18" i="5"/>
  <c r="AH15" i="5"/>
  <c r="AH20" i="5"/>
  <c r="AH22" i="5"/>
  <c r="AH24" i="5"/>
  <c r="AH17" i="5"/>
  <c r="AH9" i="5"/>
  <c r="AH13" i="5"/>
  <c r="AH25" i="5"/>
  <c r="AH26" i="5"/>
  <c r="AH31" i="5"/>
  <c r="AH11" i="5"/>
  <c r="AH23" i="5"/>
  <c r="AH29" i="5"/>
  <c r="AH32" i="5"/>
  <c r="AH37" i="5"/>
  <c r="AH40" i="5"/>
  <c r="AH21" i="5"/>
  <c r="AH19" i="5"/>
  <c r="AH28" i="5"/>
  <c r="AH33" i="5"/>
  <c r="AH36" i="5"/>
  <c r="AH41" i="5"/>
  <c r="AH44" i="5"/>
  <c r="AH60" i="5"/>
  <c r="AH62" i="5"/>
  <c r="AH64" i="5"/>
  <c r="AH66" i="5"/>
  <c r="AH68" i="5"/>
  <c r="AH70" i="5"/>
  <c r="AH72" i="5"/>
  <c r="AH74" i="5"/>
  <c r="AH76" i="5"/>
  <c r="AH78" i="5"/>
  <c r="AH80" i="5"/>
  <c r="AH82" i="5"/>
  <c r="AH84" i="5"/>
  <c r="AH86" i="5"/>
  <c r="AH88" i="5"/>
  <c r="AH90" i="5"/>
  <c r="AH92" i="5"/>
  <c r="AH94" i="5"/>
  <c r="AH38" i="5"/>
  <c r="AH39" i="5"/>
  <c r="AH49" i="5"/>
  <c r="AH52" i="5"/>
  <c r="AH57" i="5"/>
  <c r="AH63" i="5"/>
  <c r="AH27" i="5"/>
  <c r="AH30" i="5"/>
  <c r="AH45" i="5"/>
  <c r="AH47" i="5"/>
  <c r="AH48" i="5"/>
  <c r="AH50" i="5"/>
  <c r="AH55" i="5"/>
  <c r="AH58" i="5"/>
  <c r="AH65" i="5"/>
  <c r="AH69" i="5"/>
  <c r="AH73" i="5"/>
  <c r="AH79" i="5"/>
  <c r="AH81" i="5"/>
  <c r="AH83" i="5"/>
  <c r="AH46" i="5"/>
  <c r="AH53" i="5"/>
  <c r="AH56" i="5"/>
  <c r="AH77" i="5"/>
  <c r="AH34" i="5"/>
  <c r="AH35" i="5"/>
  <c r="AH42" i="5"/>
  <c r="AH43" i="5"/>
  <c r="AH51" i="5"/>
  <c r="AH54" i="5"/>
  <c r="AH59" i="5"/>
  <c r="AH61" i="5"/>
  <c r="AH67" i="5"/>
  <c r="AH71" i="5"/>
  <c r="AH75" i="5"/>
  <c r="AH87" i="5"/>
  <c r="AH95" i="5"/>
  <c r="AH97" i="5"/>
  <c r="AH99" i="5"/>
  <c r="AH101" i="5"/>
  <c r="AH103" i="5"/>
  <c r="AH105" i="5"/>
  <c r="AH107" i="5"/>
  <c r="AH109" i="5"/>
  <c r="AH102" i="5"/>
  <c r="AH110" i="5"/>
  <c r="AH89" i="5"/>
  <c r="AH93" i="5"/>
  <c r="AH96" i="5"/>
  <c r="AH104" i="5"/>
  <c r="AH85" i="5"/>
  <c r="AH91" i="5"/>
  <c r="AH98" i="5"/>
  <c r="AH106" i="5"/>
  <c r="AH100" i="5"/>
  <c r="AH108" i="5"/>
  <c r="J10" i="6"/>
  <c r="G10" i="6"/>
  <c r="I10" i="6"/>
  <c r="D148" i="6"/>
  <c r="M145" i="6"/>
  <c r="AD10" i="5"/>
  <c r="AD12" i="5"/>
  <c r="AD14" i="5"/>
  <c r="AD16" i="5"/>
  <c r="AD18" i="5"/>
  <c r="AD9" i="5"/>
  <c r="AD17" i="5"/>
  <c r="AD20" i="5"/>
  <c r="AD22" i="5"/>
  <c r="AD24" i="5"/>
  <c r="AD13" i="5"/>
  <c r="AD11" i="5"/>
  <c r="AD15" i="5"/>
  <c r="AD21" i="5"/>
  <c r="AD28" i="5"/>
  <c r="AD33" i="5"/>
  <c r="AD19" i="5"/>
  <c r="AD26" i="5"/>
  <c r="AD31" i="5"/>
  <c r="AD34" i="5"/>
  <c r="AD39" i="5"/>
  <c r="AD42" i="5"/>
  <c r="AD23" i="5"/>
  <c r="AD27" i="5"/>
  <c r="AD30" i="5"/>
  <c r="AD35" i="5"/>
  <c r="AD38" i="5"/>
  <c r="AD43" i="5"/>
  <c r="AD46" i="5"/>
  <c r="AD60" i="5"/>
  <c r="AD62" i="5"/>
  <c r="AD64" i="5"/>
  <c r="AD66" i="5"/>
  <c r="AD68" i="5"/>
  <c r="AD70" i="5"/>
  <c r="AD72" i="5"/>
  <c r="AD74" i="5"/>
  <c r="AD76" i="5"/>
  <c r="AD78" i="5"/>
  <c r="AD80" i="5"/>
  <c r="AD82" i="5"/>
  <c r="AD84" i="5"/>
  <c r="AD86" i="5"/>
  <c r="AD88" i="5"/>
  <c r="AD90" i="5"/>
  <c r="AD92" i="5"/>
  <c r="AD94" i="5"/>
  <c r="AD29" i="5"/>
  <c r="AD32" i="5"/>
  <c r="AD41" i="5"/>
  <c r="AD51" i="5"/>
  <c r="AD54" i="5"/>
  <c r="AD59" i="5"/>
  <c r="AD61" i="5"/>
  <c r="AD63" i="5"/>
  <c r="AD40" i="5"/>
  <c r="AD49" i="5"/>
  <c r="AD52" i="5"/>
  <c r="AD57" i="5"/>
  <c r="AD65" i="5"/>
  <c r="AD69" i="5"/>
  <c r="AD73" i="5"/>
  <c r="AD79" i="5"/>
  <c r="AD81" i="5"/>
  <c r="AD83" i="5"/>
  <c r="AD25" i="5"/>
  <c r="AD36" i="5"/>
  <c r="AD37" i="5"/>
  <c r="AD44" i="5"/>
  <c r="AD50" i="5"/>
  <c r="AD55" i="5"/>
  <c r="AD58" i="5"/>
  <c r="AD77" i="5"/>
  <c r="AD45" i="5"/>
  <c r="AD47" i="5"/>
  <c r="AD48" i="5"/>
  <c r="AD53" i="5"/>
  <c r="AD56" i="5"/>
  <c r="AD67" i="5"/>
  <c r="AD71" i="5"/>
  <c r="AD75" i="5"/>
  <c r="AD87" i="5"/>
  <c r="AD95" i="5"/>
  <c r="AD97" i="5"/>
  <c r="AD99" i="5"/>
  <c r="AD101" i="5"/>
  <c r="AD103" i="5"/>
  <c r="AD105" i="5"/>
  <c r="AD107" i="5"/>
  <c r="AD109" i="5"/>
  <c r="AD102" i="5"/>
  <c r="AD110" i="5"/>
  <c r="AD89" i="5"/>
  <c r="AD93" i="5"/>
  <c r="AD96" i="5"/>
  <c r="AD104" i="5"/>
  <c r="AD85" i="5"/>
  <c r="AD91" i="5"/>
  <c r="AD98" i="5"/>
  <c r="AD106" i="5"/>
  <c r="AD100" i="5"/>
  <c r="AD108" i="5"/>
  <c r="G125" i="6"/>
  <c r="J125" i="6" s="1"/>
  <c r="K125" i="6"/>
  <c r="I125" i="6"/>
  <c r="AP10" i="5"/>
  <c r="AP12" i="5"/>
  <c r="AP14" i="5"/>
  <c r="AP16" i="5"/>
  <c r="AP18" i="5"/>
  <c r="AP11" i="5"/>
  <c r="AP20" i="5"/>
  <c r="AP22" i="5"/>
  <c r="AP24" i="5"/>
  <c r="AP9" i="5"/>
  <c r="AP13" i="5"/>
  <c r="AP17" i="5"/>
  <c r="AP19" i="5"/>
  <c r="AP27" i="5"/>
  <c r="AP32" i="5"/>
  <c r="AP15" i="5"/>
  <c r="AP25" i="5"/>
  <c r="AP30" i="5"/>
  <c r="AP33" i="5"/>
  <c r="AP38" i="5"/>
  <c r="AP41" i="5"/>
  <c r="AP21" i="5"/>
  <c r="AP26" i="5"/>
  <c r="AP29" i="5"/>
  <c r="AP34" i="5"/>
  <c r="AP37" i="5"/>
  <c r="AP42" i="5"/>
  <c r="AP45" i="5"/>
  <c r="AP60" i="5"/>
  <c r="AP62" i="5"/>
  <c r="AP64" i="5"/>
  <c r="AP66" i="5"/>
  <c r="AP68" i="5"/>
  <c r="AP70" i="5"/>
  <c r="AP72" i="5"/>
  <c r="AP74" i="5"/>
  <c r="AP76" i="5"/>
  <c r="AP78" i="5"/>
  <c r="AP80" i="5"/>
  <c r="AP82" i="5"/>
  <c r="AP84" i="5"/>
  <c r="AP86" i="5"/>
  <c r="AP88" i="5"/>
  <c r="AP90" i="5"/>
  <c r="AP92" i="5"/>
  <c r="AP31" i="5"/>
  <c r="AP35" i="5"/>
  <c r="AP43" i="5"/>
  <c r="AP50" i="5"/>
  <c r="AP53" i="5"/>
  <c r="AP58" i="5"/>
  <c r="AP65" i="5"/>
  <c r="AP69" i="5"/>
  <c r="AP73" i="5"/>
  <c r="AP28" i="5"/>
  <c r="AP39" i="5"/>
  <c r="AP46" i="5"/>
  <c r="AP51" i="5"/>
  <c r="AP56" i="5"/>
  <c r="AP79" i="5"/>
  <c r="AP81" i="5"/>
  <c r="AP83" i="5"/>
  <c r="AP23" i="5"/>
  <c r="AP36" i="5"/>
  <c r="AP40" i="5"/>
  <c r="AP44" i="5"/>
  <c r="AP47" i="5"/>
  <c r="AP48" i="5"/>
  <c r="AP49" i="5"/>
  <c r="AP54" i="5"/>
  <c r="AP57" i="5"/>
  <c r="AP59" i="5"/>
  <c r="AP61" i="5"/>
  <c r="AP67" i="5"/>
  <c r="AP71" i="5"/>
  <c r="AP77" i="5"/>
  <c r="AP52" i="5"/>
  <c r="AP55" i="5"/>
  <c r="AP63" i="5"/>
  <c r="AP75" i="5"/>
  <c r="AP87" i="5"/>
  <c r="AP95" i="5"/>
  <c r="AP97" i="5"/>
  <c r="AP99" i="5"/>
  <c r="AP101" i="5"/>
  <c r="AP103" i="5"/>
  <c r="AP105" i="5"/>
  <c r="AP107" i="5"/>
  <c r="AP109" i="5"/>
  <c r="AP94" i="5"/>
  <c r="AP102" i="5"/>
  <c r="AP110" i="5"/>
  <c r="AP89" i="5"/>
  <c r="AP93" i="5"/>
  <c r="AP96" i="5"/>
  <c r="AP104" i="5"/>
  <c r="AP85" i="5"/>
  <c r="AP91" i="5"/>
  <c r="AP98" i="5"/>
  <c r="AP106" i="5"/>
  <c r="AP100" i="5"/>
  <c r="AP108" i="5"/>
  <c r="B86" i="5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K44" i="1"/>
  <c r="K54" i="1" s="1"/>
  <c r="K46" i="1"/>
  <c r="K48" i="1"/>
  <c r="K52" i="1"/>
  <c r="K50" i="1"/>
  <c r="K42" i="1"/>
  <c r="G126" i="6"/>
  <c r="I126" i="6"/>
  <c r="J126" i="6"/>
  <c r="K126" i="6"/>
  <c r="J24" i="6"/>
  <c r="G24" i="6"/>
  <c r="I24" i="6" s="1"/>
  <c r="G188" i="6"/>
  <c r="I188" i="6"/>
  <c r="H33" i="6"/>
  <c r="G33" i="6"/>
  <c r="D140" i="10"/>
  <c r="AT10" i="5"/>
  <c r="AT12" i="5"/>
  <c r="AT14" i="5"/>
  <c r="AT16" i="5"/>
  <c r="AT9" i="5"/>
  <c r="AT17" i="5"/>
  <c r="AT18" i="5"/>
  <c r="AT20" i="5"/>
  <c r="AT22" i="5"/>
  <c r="AT24" i="5"/>
  <c r="AT11" i="5"/>
  <c r="AT15" i="5"/>
  <c r="AT19" i="5"/>
  <c r="AT21" i="5"/>
  <c r="AT23" i="5"/>
  <c r="AT27" i="5"/>
  <c r="AT30" i="5"/>
  <c r="AT25" i="5"/>
  <c r="AT28" i="5"/>
  <c r="AT33" i="5"/>
  <c r="AT36" i="5"/>
  <c r="AT41" i="5"/>
  <c r="AT13" i="5"/>
  <c r="AT29" i="5"/>
  <c r="AT32" i="5"/>
  <c r="AT37" i="5"/>
  <c r="AT40" i="5"/>
  <c r="AT45" i="5"/>
  <c r="AT48" i="5"/>
  <c r="AT60" i="5"/>
  <c r="AT62" i="5"/>
  <c r="AT64" i="5"/>
  <c r="AT66" i="5"/>
  <c r="AT68" i="5"/>
  <c r="AT70" i="5"/>
  <c r="AT72" i="5"/>
  <c r="AT74" i="5"/>
  <c r="AT76" i="5"/>
  <c r="AT78" i="5"/>
  <c r="AT80" i="5"/>
  <c r="AT82" i="5"/>
  <c r="AT84" i="5"/>
  <c r="AT86" i="5"/>
  <c r="AT88" i="5"/>
  <c r="AT90" i="5"/>
  <c r="AT92" i="5"/>
  <c r="AT35" i="5"/>
  <c r="AT39" i="5"/>
  <c r="AT43" i="5"/>
  <c r="AT44" i="5"/>
  <c r="AT46" i="5"/>
  <c r="AT53" i="5"/>
  <c r="AT56" i="5"/>
  <c r="AT79" i="5"/>
  <c r="AT81" i="5"/>
  <c r="AT38" i="5"/>
  <c r="AT47" i="5"/>
  <c r="AT51" i="5"/>
  <c r="AT54" i="5"/>
  <c r="AT59" i="5"/>
  <c r="AT61" i="5"/>
  <c r="AT67" i="5"/>
  <c r="AT71" i="5"/>
  <c r="AT77" i="5"/>
  <c r="AT83" i="5"/>
  <c r="AT49" i="5"/>
  <c r="AT52" i="5"/>
  <c r="AT57" i="5"/>
  <c r="AT63" i="5"/>
  <c r="AT75" i="5"/>
  <c r="AT26" i="5"/>
  <c r="AT31" i="5"/>
  <c r="AT34" i="5"/>
  <c r="AT42" i="5"/>
  <c r="AT50" i="5"/>
  <c r="AT55" i="5"/>
  <c r="AT58" i="5"/>
  <c r="AT65" i="5"/>
  <c r="AT69" i="5"/>
  <c r="AT73" i="5"/>
  <c r="AT87" i="5"/>
  <c r="AT95" i="5"/>
  <c r="AT97" i="5"/>
  <c r="AT99" i="5"/>
  <c r="AT101" i="5"/>
  <c r="AT103" i="5"/>
  <c r="AT105" i="5"/>
  <c r="AT107" i="5"/>
  <c r="AT109" i="5"/>
  <c r="AT94" i="5"/>
  <c r="AT102" i="5"/>
  <c r="AT110" i="5"/>
  <c r="AT89" i="5"/>
  <c r="AT93" i="5"/>
  <c r="AT96" i="5"/>
  <c r="AT104" i="5"/>
  <c r="AT85" i="5"/>
  <c r="AT91" i="5"/>
  <c r="AT98" i="5"/>
  <c r="AT106" i="5"/>
  <c r="AT100" i="5"/>
  <c r="AT108" i="5"/>
  <c r="D270" i="10"/>
  <c r="D271" i="10" s="1"/>
  <c r="G405" i="10"/>
  <c r="G406" i="10" s="1"/>
  <c r="D139" i="10"/>
  <c r="E172" i="10"/>
  <c r="E173" i="10" s="1"/>
  <c r="D123" i="10"/>
  <c r="E12" i="14"/>
  <c r="E206" i="10"/>
  <c r="E207" i="10" s="1"/>
  <c r="H19" i="37"/>
  <c r="I19" i="1"/>
  <c r="F12" i="6"/>
  <c r="F25" i="6"/>
  <c r="J5" i="6"/>
  <c r="M5" i="6" s="1"/>
  <c r="F26" i="6"/>
  <c r="J50" i="6"/>
  <c r="F67" i="6"/>
  <c r="J81" i="6"/>
  <c r="N81" i="6" s="1"/>
  <c r="J181" i="6"/>
  <c r="J201" i="6"/>
  <c r="F10" i="6"/>
  <c r="J18" i="6"/>
  <c r="M18" i="6" s="1"/>
  <c r="F87" i="6"/>
  <c r="F88" i="6"/>
  <c r="J156" i="6"/>
  <c r="I219" i="6"/>
  <c r="F11" i="6"/>
  <c r="F23" i="6"/>
  <c r="J62" i="6"/>
  <c r="M62" i="6" s="1"/>
  <c r="F69" i="6"/>
  <c r="F13" i="6"/>
  <c r="F24" i="6"/>
  <c r="F68" i="6"/>
  <c r="F86" i="6"/>
  <c r="AZ5" i="5"/>
  <c r="G186" i="6"/>
  <c r="I186" i="6"/>
  <c r="E87" i="6"/>
  <c r="G206" i="6"/>
  <c r="I206" i="6"/>
  <c r="G162" i="6"/>
  <c r="D130" i="6"/>
  <c r="J396" i="10" l="1"/>
  <c r="D151" i="6"/>
  <c r="E148" i="6"/>
  <c r="E151" i="6" s="1"/>
  <c r="H69" i="6"/>
  <c r="K69" i="6"/>
  <c r="J69" i="6"/>
  <c r="K68" i="6"/>
  <c r="H68" i="6"/>
  <c r="I68" i="6"/>
  <c r="L68" i="6" s="1"/>
  <c r="J68" i="6"/>
  <c r="F162" i="6"/>
  <c r="F163" i="6"/>
  <c r="M156" i="6"/>
  <c r="F161" i="6"/>
  <c r="H10" i="6"/>
  <c r="K10" i="6"/>
  <c r="H25" i="6"/>
  <c r="K25" i="6" s="1"/>
  <c r="J25" i="6"/>
  <c r="I87" i="6"/>
  <c r="K87" i="6"/>
  <c r="G87" i="6"/>
  <c r="J87" i="6"/>
  <c r="H24" i="6"/>
  <c r="K24" i="6"/>
  <c r="L24" i="6" s="1"/>
  <c r="H23" i="6"/>
  <c r="K23" i="6"/>
  <c r="H88" i="6"/>
  <c r="L88" i="6" s="1"/>
  <c r="K88" i="6"/>
  <c r="J88" i="6"/>
  <c r="M201" i="6"/>
  <c r="F206" i="6"/>
  <c r="F207" i="6"/>
  <c r="F208" i="6"/>
  <c r="H56" i="6"/>
  <c r="I56" i="6" s="1"/>
  <c r="G230" i="6"/>
  <c r="H230" i="6" s="1"/>
  <c r="H55" i="6"/>
  <c r="I55" i="6" s="1"/>
  <c r="G224" i="6"/>
  <c r="H224" i="6" s="1"/>
  <c r="G232" i="6"/>
  <c r="H232" i="6" s="1"/>
  <c r="G225" i="6"/>
  <c r="H225" i="6" s="1"/>
  <c r="H57" i="6"/>
  <c r="I57" i="6" s="1"/>
  <c r="G223" i="6"/>
  <c r="H223" i="6" s="1"/>
  <c r="H54" i="6"/>
  <c r="I54" i="6" s="1"/>
  <c r="I58" i="6" s="1"/>
  <c r="I102" i="1" s="1"/>
  <c r="K102" i="1" s="1"/>
  <c r="G231" i="6"/>
  <c r="H231" i="6" s="1"/>
  <c r="H12" i="6"/>
  <c r="K12" i="6" s="1"/>
  <c r="J12" i="6"/>
  <c r="AZ9" i="5"/>
  <c r="AZ11" i="5"/>
  <c r="AZ13" i="5"/>
  <c r="AZ15" i="5"/>
  <c r="AZ17" i="5"/>
  <c r="AZ10" i="5"/>
  <c r="AZ19" i="5"/>
  <c r="AZ21" i="5"/>
  <c r="AZ23" i="5"/>
  <c r="AZ18" i="5"/>
  <c r="AZ20" i="5"/>
  <c r="AZ22" i="5"/>
  <c r="AZ24" i="5"/>
  <c r="AZ29" i="5"/>
  <c r="AZ32" i="5"/>
  <c r="AZ12" i="5"/>
  <c r="AZ16" i="5"/>
  <c r="AZ27" i="5"/>
  <c r="AZ30" i="5"/>
  <c r="AZ35" i="5"/>
  <c r="AZ38" i="5"/>
  <c r="AZ43" i="5"/>
  <c r="AZ14" i="5"/>
  <c r="AZ26" i="5"/>
  <c r="AZ31" i="5"/>
  <c r="AZ34" i="5"/>
  <c r="AZ39" i="5"/>
  <c r="AZ42" i="5"/>
  <c r="AZ47" i="5"/>
  <c r="AZ59" i="5"/>
  <c r="AZ61" i="5"/>
  <c r="AZ63" i="5"/>
  <c r="AZ65" i="5"/>
  <c r="AZ67" i="5"/>
  <c r="AZ69" i="5"/>
  <c r="AZ71" i="5"/>
  <c r="AZ73" i="5"/>
  <c r="AZ75" i="5"/>
  <c r="AZ77" i="5"/>
  <c r="AZ79" i="5"/>
  <c r="AZ81" i="5"/>
  <c r="AZ83" i="5"/>
  <c r="AZ85" i="5"/>
  <c r="AZ87" i="5"/>
  <c r="AZ89" i="5"/>
  <c r="AZ91" i="5"/>
  <c r="AZ93" i="5"/>
  <c r="AZ33" i="5"/>
  <c r="AZ41" i="5"/>
  <c r="AZ44" i="5"/>
  <c r="AZ46" i="5"/>
  <c r="AZ50" i="5"/>
  <c r="AZ55" i="5"/>
  <c r="AZ58" i="5"/>
  <c r="AZ66" i="5"/>
  <c r="AZ70" i="5"/>
  <c r="AZ74" i="5"/>
  <c r="AZ28" i="5"/>
  <c r="AZ40" i="5"/>
  <c r="AZ45" i="5"/>
  <c r="AZ48" i="5"/>
  <c r="AZ53" i="5"/>
  <c r="AZ56" i="5"/>
  <c r="AZ60" i="5"/>
  <c r="AZ62" i="5"/>
  <c r="AZ80" i="5"/>
  <c r="AZ82" i="5"/>
  <c r="AZ25" i="5"/>
  <c r="AZ51" i="5"/>
  <c r="AZ54" i="5"/>
  <c r="AZ64" i="5"/>
  <c r="AZ68" i="5"/>
  <c r="AZ72" i="5"/>
  <c r="AZ78" i="5"/>
  <c r="AZ36" i="5"/>
  <c r="AZ37" i="5"/>
  <c r="AZ49" i="5"/>
  <c r="AZ52" i="5"/>
  <c r="AZ57" i="5"/>
  <c r="AZ76" i="5"/>
  <c r="AZ86" i="5"/>
  <c r="AZ94" i="5"/>
  <c r="AZ96" i="5"/>
  <c r="AZ98" i="5"/>
  <c r="AZ100" i="5"/>
  <c r="AZ102" i="5"/>
  <c r="AZ104" i="5"/>
  <c r="AZ106" i="5"/>
  <c r="AZ108" i="5"/>
  <c r="AZ101" i="5"/>
  <c r="AZ109" i="5"/>
  <c r="AZ95" i="5"/>
  <c r="AZ103" i="5"/>
  <c r="AZ88" i="5"/>
  <c r="AZ90" i="5"/>
  <c r="AZ92" i="5"/>
  <c r="AZ97" i="5"/>
  <c r="AZ105" i="5"/>
  <c r="AZ110" i="5"/>
  <c r="AZ84" i="5"/>
  <c r="AZ99" i="5"/>
  <c r="AZ107" i="5"/>
  <c r="H11" i="6"/>
  <c r="K11" i="6"/>
  <c r="J11" i="6"/>
  <c r="I11" i="6"/>
  <c r="H26" i="6"/>
  <c r="K26" i="6"/>
  <c r="D124" i="10"/>
  <c r="F108" i="6"/>
  <c r="M101" i="6"/>
  <c r="F106" i="6"/>
  <c r="F107" i="6"/>
  <c r="L126" i="6"/>
  <c r="M126" i="6" s="1"/>
  <c r="D132" i="6" s="1"/>
  <c r="E132" i="6" s="1"/>
  <c r="H44" i="1"/>
  <c r="I44" i="1" s="1"/>
  <c r="H34" i="1"/>
  <c r="I34" i="1" s="1"/>
  <c r="H38" i="1"/>
  <c r="I38" i="1" s="1"/>
  <c r="H42" i="1"/>
  <c r="I42" i="1" s="1"/>
  <c r="H46" i="1"/>
  <c r="I46" i="1" s="1"/>
  <c r="H50" i="1"/>
  <c r="I50" i="1" s="1"/>
  <c r="H36" i="1"/>
  <c r="I36" i="1" s="1"/>
  <c r="H48" i="1"/>
  <c r="I48" i="1" s="1"/>
  <c r="H52" i="1"/>
  <c r="I52" i="1" s="1"/>
  <c r="H40" i="1"/>
  <c r="I40" i="1" s="1"/>
  <c r="L125" i="6"/>
  <c r="J26" i="6"/>
  <c r="L26" i="6" s="1"/>
  <c r="M26" i="6" s="1"/>
  <c r="I36" i="6" s="1"/>
  <c r="L23" i="6"/>
  <c r="H13" i="6"/>
  <c r="K13" i="6"/>
  <c r="J13" i="6"/>
  <c r="H87" i="6"/>
  <c r="L87" i="6"/>
  <c r="M181" i="6"/>
  <c r="F186" i="6"/>
  <c r="F188" i="6"/>
  <c r="F187" i="6"/>
  <c r="E130" i="6"/>
  <c r="K86" i="6"/>
  <c r="H86" i="6"/>
  <c r="J86" i="6"/>
  <c r="M86" i="6" s="1"/>
  <c r="L86" i="6"/>
  <c r="K67" i="6"/>
  <c r="L67" i="6" s="1"/>
  <c r="H67" i="6"/>
  <c r="L10" i="6"/>
  <c r="M67" i="6" l="1"/>
  <c r="I40" i="6"/>
  <c r="I43" i="6"/>
  <c r="I45" i="6"/>
  <c r="I44" i="6"/>
  <c r="H187" i="6"/>
  <c r="I187" i="6"/>
  <c r="J187" i="6"/>
  <c r="K187" i="6"/>
  <c r="L127" i="6"/>
  <c r="M125" i="6" s="1"/>
  <c r="M120" i="6"/>
  <c r="I107" i="6"/>
  <c r="K107" i="6"/>
  <c r="H107" i="6"/>
  <c r="J107" i="6" s="1"/>
  <c r="H226" i="6"/>
  <c r="H208" i="6"/>
  <c r="K208" i="6"/>
  <c r="J208" i="6"/>
  <c r="L208" i="6" s="1"/>
  <c r="M88" i="6"/>
  <c r="J163" i="6"/>
  <c r="H163" i="6"/>
  <c r="K163" i="6" s="1"/>
  <c r="M10" i="6"/>
  <c r="H188" i="6"/>
  <c r="K188" i="6" s="1"/>
  <c r="J188" i="6"/>
  <c r="M23" i="6"/>
  <c r="L27" i="6"/>
  <c r="I54" i="1"/>
  <c r="H56" i="1" s="1"/>
  <c r="J106" i="6"/>
  <c r="L106" i="6" s="1"/>
  <c r="H106" i="6"/>
  <c r="K106" i="6"/>
  <c r="L11" i="6"/>
  <c r="H207" i="6"/>
  <c r="K207" i="6"/>
  <c r="J207" i="6"/>
  <c r="I207" i="6"/>
  <c r="L25" i="6"/>
  <c r="K162" i="6"/>
  <c r="H162" i="6"/>
  <c r="J162" i="6"/>
  <c r="I162" i="6"/>
  <c r="M89" i="6"/>
  <c r="K186" i="6"/>
  <c r="H186" i="6"/>
  <c r="J186" i="6"/>
  <c r="L13" i="6"/>
  <c r="M13" i="6" s="1"/>
  <c r="H233" i="6"/>
  <c r="K230" i="1" s="1"/>
  <c r="H206" i="6"/>
  <c r="K206" i="6"/>
  <c r="J206" i="6"/>
  <c r="L206" i="6" s="1"/>
  <c r="J161" i="6"/>
  <c r="L161" i="6" s="1"/>
  <c r="K161" i="6"/>
  <c r="H161" i="6"/>
  <c r="L69" i="6"/>
  <c r="F149" i="6"/>
  <c r="J108" i="6"/>
  <c r="K108" i="6"/>
  <c r="H108" i="6"/>
  <c r="L12" i="6"/>
  <c r="M87" i="6"/>
  <c r="M24" i="6" l="1"/>
  <c r="G36" i="6" s="1"/>
  <c r="D131" i="6"/>
  <c r="M127" i="6"/>
  <c r="M206" i="6"/>
  <c r="L162" i="6"/>
  <c r="M25" i="6"/>
  <c r="H36" i="6" s="1"/>
  <c r="M106" i="6"/>
  <c r="F36" i="6"/>
  <c r="M27" i="6"/>
  <c r="L187" i="6"/>
  <c r="L70" i="6"/>
  <c r="L186" i="6"/>
  <c r="L207" i="6"/>
  <c r="K202" i="1"/>
  <c r="K154" i="1"/>
  <c r="K240" i="1"/>
  <c r="K242" i="1"/>
  <c r="G294" i="10"/>
  <c r="G298" i="10" s="1"/>
  <c r="G300" i="10" s="1"/>
  <c r="F324" i="10"/>
  <c r="G324" i="10" s="1"/>
  <c r="H324" i="10" s="1"/>
  <c r="L324" i="10" s="1"/>
  <c r="F332" i="10"/>
  <c r="F340" i="10"/>
  <c r="K116" i="1"/>
  <c r="F328" i="10"/>
  <c r="K110" i="1"/>
  <c r="F336" i="10"/>
  <c r="K98" i="1"/>
  <c r="K238" i="1"/>
  <c r="K113" i="1"/>
  <c r="I33" i="10"/>
  <c r="H318" i="10"/>
  <c r="K236" i="1"/>
  <c r="K206" i="1"/>
  <c r="L188" i="6"/>
  <c r="M6" i="6"/>
  <c r="L163" i="6"/>
  <c r="L107" i="6"/>
  <c r="M102" i="6" s="1"/>
  <c r="D74" i="6"/>
  <c r="J74" i="6"/>
  <c r="L108" i="6"/>
  <c r="M108" i="6" s="1"/>
  <c r="D114" i="6" s="1"/>
  <c r="E114" i="6" s="1"/>
  <c r="N82" i="6"/>
  <c r="N86" i="6" s="1"/>
  <c r="M19" i="6"/>
  <c r="L14" i="6"/>
  <c r="M11" i="6" s="1"/>
  <c r="M14" i="6" s="1"/>
  <c r="K228" i="1"/>
  <c r="I42" i="6"/>
  <c r="I41" i="6"/>
  <c r="M161" i="6"/>
  <c r="M157" i="6"/>
  <c r="L164" i="6"/>
  <c r="M63" i="6"/>
  <c r="M12" i="6"/>
  <c r="K74" i="6" l="1"/>
  <c r="D169" i="6"/>
  <c r="J169" i="6"/>
  <c r="N87" i="6"/>
  <c r="D93" i="6" s="1"/>
  <c r="E93" i="6" s="1"/>
  <c r="M68" i="6"/>
  <c r="F43" i="6"/>
  <c r="F40" i="6"/>
  <c r="F45" i="6"/>
  <c r="F44" i="6"/>
  <c r="H40" i="6"/>
  <c r="H44" i="6"/>
  <c r="H45" i="6"/>
  <c r="H43" i="6"/>
  <c r="D212" i="6"/>
  <c r="G40" i="6"/>
  <c r="G44" i="6"/>
  <c r="G43" i="6"/>
  <c r="G45" i="6"/>
  <c r="M163" i="6"/>
  <c r="J347" i="10"/>
  <c r="K186" i="1" s="1"/>
  <c r="L109" i="6"/>
  <c r="M162" i="6"/>
  <c r="M69" i="6"/>
  <c r="D112" i="6"/>
  <c r="M202" i="6"/>
  <c r="D92" i="6"/>
  <c r="N88" i="6"/>
  <c r="D94" i="6" s="1"/>
  <c r="E94" i="6" s="1"/>
  <c r="H155" i="10"/>
  <c r="H189" i="10"/>
  <c r="L189" i="6"/>
  <c r="M187" i="6" s="1"/>
  <c r="D193" i="6" s="1"/>
  <c r="E193" i="6" s="1"/>
  <c r="M182" i="6"/>
  <c r="M186" i="6"/>
  <c r="L209" i="6"/>
  <c r="M208" i="6" s="1"/>
  <c r="D214" i="6" s="1"/>
  <c r="E214" i="6" s="1"/>
  <c r="E131" i="6"/>
  <c r="E133" i="6" s="1"/>
  <c r="F131" i="6" s="1"/>
  <c r="D133" i="6"/>
  <c r="E74" i="6"/>
  <c r="M107" i="6"/>
  <c r="D113" i="6" s="1"/>
  <c r="E113" i="6" s="1"/>
  <c r="E112" i="6" l="1"/>
  <c r="E115" i="6" s="1"/>
  <c r="D115" i="6"/>
  <c r="J44" i="6"/>
  <c r="I64" i="1" s="1"/>
  <c r="D78" i="1" s="1"/>
  <c r="D192" i="6"/>
  <c r="D76" i="6"/>
  <c r="E76" i="6" s="1"/>
  <c r="J76" i="6"/>
  <c r="K76" i="6" s="1"/>
  <c r="F41" i="6"/>
  <c r="F42" i="6"/>
  <c r="J42" i="6" s="1"/>
  <c r="H60" i="1" s="1"/>
  <c r="J40" i="6"/>
  <c r="E169" i="6"/>
  <c r="M109" i="6"/>
  <c r="D170" i="6"/>
  <c r="E170" i="6" s="1"/>
  <c r="J170" i="6"/>
  <c r="K170" i="6" s="1"/>
  <c r="E212" i="6"/>
  <c r="H41" i="6"/>
  <c r="H42" i="6"/>
  <c r="J43" i="6"/>
  <c r="I62" i="1" s="1"/>
  <c r="I76" i="1" s="1"/>
  <c r="M164" i="6"/>
  <c r="D95" i="6"/>
  <c r="E92" i="6"/>
  <c r="E95" i="6" s="1"/>
  <c r="F95" i="6" s="1"/>
  <c r="J75" i="6"/>
  <c r="D75" i="6"/>
  <c r="M70" i="6"/>
  <c r="M188" i="6"/>
  <c r="D194" i="6" s="1"/>
  <c r="E194" i="6" s="1"/>
  <c r="N89" i="6"/>
  <c r="M207" i="6"/>
  <c r="D171" i="6"/>
  <c r="E171" i="6" s="1"/>
  <c r="J171" i="6"/>
  <c r="K171" i="6" s="1"/>
  <c r="G42" i="6"/>
  <c r="G41" i="6"/>
  <c r="J45" i="6"/>
  <c r="E64" i="1" s="1"/>
  <c r="I80" i="1" s="1"/>
  <c r="K169" i="6"/>
  <c r="D213" i="6" l="1"/>
  <c r="M209" i="6"/>
  <c r="J172" i="6"/>
  <c r="E172" i="6"/>
  <c r="J60" i="1"/>
  <c r="D76" i="1" s="1"/>
  <c r="E66" i="1"/>
  <c r="E75" i="6"/>
  <c r="E77" i="6" s="1"/>
  <c r="F75" i="6" s="1"/>
  <c r="I106" i="1" s="1"/>
  <c r="D77" i="6"/>
  <c r="G289" i="10"/>
  <c r="G291" i="10" s="1"/>
  <c r="K176" i="1" s="1"/>
  <c r="K216" i="1"/>
  <c r="M189" i="6"/>
  <c r="K172" i="6"/>
  <c r="L170" i="6" s="1"/>
  <c r="L177" i="6" s="1"/>
  <c r="K75" i="6"/>
  <c r="K77" i="6" s="1"/>
  <c r="L75" i="6" s="1"/>
  <c r="I104" i="1" s="1"/>
  <c r="J77" i="6"/>
  <c r="D172" i="6"/>
  <c r="J41" i="6"/>
  <c r="D195" i="6"/>
  <c r="E192" i="6"/>
  <c r="E195" i="6" s="1"/>
  <c r="F193" i="6" s="1"/>
  <c r="F113" i="6"/>
  <c r="H161" i="10" l="1"/>
  <c r="H195" i="10"/>
  <c r="J193" i="6"/>
  <c r="F170" i="6"/>
  <c r="F177" i="6" s="1"/>
  <c r="H151" i="10"/>
  <c r="H185" i="10"/>
  <c r="K106" i="1"/>
  <c r="K200" i="1"/>
  <c r="I78" i="1"/>
  <c r="H149" i="10"/>
  <c r="K104" i="1"/>
  <c r="H183" i="10"/>
  <c r="F60" i="1"/>
  <c r="K96" i="1"/>
  <c r="K131" i="10"/>
  <c r="K115" i="10"/>
  <c r="E213" i="6"/>
  <c r="E215" i="6" s="1"/>
  <c r="F213" i="6" s="1"/>
  <c r="K222" i="1" s="1"/>
  <c r="K224" i="1" s="1"/>
  <c r="K226" i="1" s="1"/>
  <c r="D215" i="6"/>
  <c r="F131" i="10" l="1"/>
  <c r="F115" i="10"/>
  <c r="G304" i="10"/>
  <c r="E433" i="10"/>
  <c r="F433" i="10" s="1"/>
  <c r="G365" i="10"/>
  <c r="K190" i="1" s="1"/>
  <c r="K118" i="1"/>
  <c r="G419" i="10"/>
  <c r="E434" i="10"/>
  <c r="F434" i="10" s="1"/>
  <c r="K211" i="1"/>
  <c r="D60" i="1"/>
  <c r="K214" i="1"/>
  <c r="G421" i="10"/>
  <c r="I9" i="11"/>
  <c r="E432" i="10"/>
  <c r="F432" i="10" s="1"/>
  <c r="J398" i="10"/>
  <c r="K124" i="1"/>
  <c r="K120" i="1"/>
  <c r="K122" i="1"/>
  <c r="G332" i="10"/>
  <c r="H332" i="10" s="1"/>
  <c r="L332" i="10" s="1"/>
  <c r="G328" i="10"/>
  <c r="H328" i="10" s="1"/>
  <c r="L328" i="10" s="1"/>
  <c r="G340" i="10"/>
  <c r="H340" i="10" s="1"/>
  <c r="L340" i="10" s="1"/>
  <c r="G336" i="10"/>
  <c r="H336" i="10" s="1"/>
  <c r="L336" i="10" s="1"/>
  <c r="B267" i="10" l="1"/>
  <c r="C9" i="15"/>
  <c r="D9" i="15" s="1"/>
  <c r="I10" i="11"/>
  <c r="B402" i="10"/>
  <c r="I12" i="11"/>
  <c r="C8" i="14"/>
  <c r="B136" i="10"/>
  <c r="I11" i="11"/>
  <c r="C203" i="10"/>
  <c r="B120" i="10"/>
  <c r="C169" i="10"/>
  <c r="L342" i="10"/>
  <c r="J345" i="10" s="1"/>
  <c r="G423" i="10"/>
  <c r="K198" i="1" s="1"/>
  <c r="G308" i="10"/>
  <c r="G306" i="10"/>
  <c r="G310" i="10" s="1"/>
  <c r="G314" i="10" s="1"/>
  <c r="K182" i="1" s="1"/>
  <c r="F435" i="10"/>
  <c r="K218" i="1" s="1"/>
  <c r="H136" i="10" l="1"/>
  <c r="K136" i="10"/>
  <c r="K120" i="10"/>
  <c r="H402" i="10"/>
  <c r="F120" i="10"/>
  <c r="H120" i="10" s="1"/>
  <c r="F136" i="10"/>
  <c r="G203" i="10"/>
  <c r="F267" i="10"/>
  <c r="G169" i="10"/>
  <c r="C172" i="10"/>
  <c r="B270" i="10"/>
  <c r="C11" i="14"/>
  <c r="B405" i="10"/>
  <c r="C206" i="10"/>
  <c r="C12" i="15"/>
  <c r="D12" i="15" s="1"/>
  <c r="B139" i="10"/>
  <c r="B123" i="10"/>
  <c r="I267" i="10"/>
  <c r="H267" i="10"/>
  <c r="K267" i="10" s="1"/>
  <c r="C171" i="10"/>
  <c r="B122" i="10"/>
  <c r="B138" i="10"/>
  <c r="C10" i="14"/>
  <c r="K139" i="1" s="1"/>
  <c r="C205" i="10"/>
  <c r="B269" i="10"/>
  <c r="C11" i="15"/>
  <c r="D11" i="15" s="1"/>
  <c r="B404" i="10"/>
  <c r="E402" i="10"/>
  <c r="D402" i="10"/>
  <c r="B403" i="10"/>
  <c r="C170" i="10"/>
  <c r="B268" i="10"/>
  <c r="C9" i="14"/>
  <c r="B121" i="10"/>
  <c r="C204" i="10"/>
  <c r="C10" i="15"/>
  <c r="D10" i="15" s="1"/>
  <c r="B137" i="10"/>
  <c r="H153" i="10" l="1"/>
  <c r="H187" i="10"/>
  <c r="D404" i="10"/>
  <c r="E404" i="10"/>
  <c r="G172" i="10"/>
  <c r="H405" i="10"/>
  <c r="F123" i="10"/>
  <c r="H123" i="10" s="1"/>
  <c r="G206" i="10"/>
  <c r="F270" i="10"/>
  <c r="F139" i="10"/>
  <c r="H139" i="10" s="1"/>
  <c r="H270" i="10"/>
  <c r="I270" i="10"/>
  <c r="K121" i="10"/>
  <c r="D403" i="10"/>
  <c r="E403" i="10"/>
  <c r="F269" i="10"/>
  <c r="G171" i="10"/>
  <c r="G205" i="10"/>
  <c r="F138" i="10"/>
  <c r="F122" i="10"/>
  <c r="H404" i="10"/>
  <c r="H138" i="10"/>
  <c r="K138" i="10"/>
  <c r="J402" i="10"/>
  <c r="H269" i="10"/>
  <c r="K269" i="10" s="1"/>
  <c r="I269" i="10"/>
  <c r="H122" i="10"/>
  <c r="K122" i="10"/>
  <c r="K123" i="10"/>
  <c r="E405" i="10"/>
  <c r="K405" i="10" s="1"/>
  <c r="D405" i="10"/>
  <c r="J405" i="10" s="1"/>
  <c r="K124" i="10"/>
  <c r="K126" i="10" s="1"/>
  <c r="I166" i="1" s="1"/>
  <c r="F268" i="10"/>
  <c r="G204" i="10"/>
  <c r="F137" i="10"/>
  <c r="H137" i="10" s="1"/>
  <c r="H140" i="10" s="1"/>
  <c r="H142" i="10" s="1"/>
  <c r="H403" i="10"/>
  <c r="G170" i="10"/>
  <c r="F121" i="10"/>
  <c r="H121" i="10" s="1"/>
  <c r="I268" i="10"/>
  <c r="H268" i="10"/>
  <c r="K268" i="10" s="1"/>
  <c r="K402" i="10"/>
  <c r="K139" i="10"/>
  <c r="H124" i="10" l="1"/>
  <c r="H126" i="10" s="1"/>
  <c r="J166" i="1" s="1"/>
  <c r="J246" i="1" s="1"/>
  <c r="D80" i="1" s="1"/>
  <c r="H82" i="1" s="1"/>
  <c r="K271" i="10"/>
  <c r="G274" i="10" s="1"/>
  <c r="J403" i="10"/>
  <c r="J406" i="10" s="1"/>
  <c r="H410" i="10" s="1"/>
  <c r="K270" i="10"/>
  <c r="K404" i="10"/>
  <c r="K137" i="10"/>
  <c r="K140" i="10" s="1"/>
  <c r="K142" i="10" s="1"/>
  <c r="J404" i="10"/>
  <c r="H164" i="10"/>
  <c r="K406" i="10"/>
  <c r="H408" i="10" s="1"/>
  <c r="K403" i="10"/>
  <c r="H159" i="10"/>
  <c r="K166" i="1"/>
  <c r="H193" i="10"/>
  <c r="H198" i="10" s="1"/>
  <c r="K409" i="10" l="1"/>
  <c r="G413" i="10" s="1"/>
  <c r="K196" i="1" s="1"/>
  <c r="D274" i="10"/>
  <c r="J195" i="6"/>
  <c r="J197" i="6" s="1"/>
  <c r="G276" i="10"/>
  <c r="I170" i="1" s="1"/>
  <c r="K170" i="1" s="1"/>
  <c r="H19" i="10"/>
  <c r="H23" i="10" s="1"/>
  <c r="F383" i="10"/>
  <c r="K255" i="1"/>
  <c r="I169" i="10" l="1"/>
  <c r="I203" i="10"/>
  <c r="I207" i="10" s="1"/>
  <c r="I209" i="10" s="1"/>
  <c r="I170" i="10"/>
  <c r="I206" i="10"/>
  <c r="I205" i="10"/>
  <c r="I172" i="10"/>
  <c r="I171" i="10"/>
  <c r="I204" i="10"/>
  <c r="F391" i="10"/>
  <c r="F389" i="10"/>
  <c r="K389" i="10"/>
  <c r="K391" i="10" s="1"/>
  <c r="H25" i="10"/>
  <c r="J93" i="10"/>
  <c r="K194" i="1" l="1"/>
  <c r="I173" i="10"/>
  <c r="I175" i="10" s="1"/>
  <c r="I168" i="1" s="1"/>
  <c r="K168" i="1" s="1"/>
  <c r="K248" i="1" l="1"/>
  <c r="K253" i="1" s="1"/>
  <c r="K257" i="1" s="1"/>
  <c r="H267" i="1"/>
  <c r="H269" i="1"/>
  <c r="H271" i="1"/>
  <c r="K20" i="1" l="1"/>
  <c r="K133" i="1"/>
  <c r="G20" i="1"/>
  <c r="G133" i="1"/>
  <c r="C133" i="1"/>
  <c r="C20" i="1"/>
</calcChain>
</file>

<file path=xl/comments1.xml><?xml version="1.0" encoding="utf-8"?>
<comments xmlns="http://schemas.openxmlformats.org/spreadsheetml/2006/main">
  <authors>
    <author>ING1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4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19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19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34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49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49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65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65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81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81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10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10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12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12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14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14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16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160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18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18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20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20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22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22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  <comment ref="F24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COLOCA EL NOMBRE DEL DIA DE LA SEMANA QUE CORRESPONDE AL CODIGO</t>
        </r>
      </text>
    </comment>
    <comment ref="G243" authorId="0">
      <text>
        <r>
          <rPr>
            <b/>
            <sz val="8"/>
            <color indexed="81"/>
            <rFont val="Tahoma"/>
            <family val="2"/>
          </rPr>
          <t>ING1:</t>
        </r>
        <r>
          <rPr>
            <sz val="8"/>
            <color indexed="81"/>
            <rFont val="Tahoma"/>
            <family val="2"/>
          </rPr>
          <t xml:space="preserve">
IDENTIFICA SI EL FERIADO CAE EN SABADO O DOMINGO
</t>
        </r>
        <r>
          <rPr>
            <b/>
            <sz val="8"/>
            <color indexed="81"/>
            <rFont val="Tahoma"/>
            <family val="2"/>
          </rPr>
          <t>SI CAE SABADO</t>
        </r>
        <r>
          <rPr>
            <sz val="8"/>
            <color indexed="81"/>
            <rFont val="Tahoma"/>
            <family val="2"/>
          </rPr>
          <t xml:space="preserve"> 
1/2 DIA FERIADO SI LA SEMANA ES DE 44 HORAS
0 DIAS FERIADOS SI LA SEMANA ES DE 40 HORAS
</t>
        </r>
        <r>
          <rPr>
            <b/>
            <sz val="8"/>
            <color indexed="81"/>
            <rFont val="Tahoma"/>
            <family val="2"/>
          </rPr>
          <t>SI CAE DOMINGO</t>
        </r>
        <r>
          <rPr>
            <sz val="8"/>
            <color indexed="81"/>
            <rFont val="Tahoma"/>
            <family val="2"/>
          </rPr>
          <t xml:space="preserve">
0 DIAS FERIADOS</t>
        </r>
      </text>
    </comment>
  </commentList>
</comments>
</file>

<file path=xl/sharedStrings.xml><?xml version="1.0" encoding="utf-8"?>
<sst xmlns="http://schemas.openxmlformats.org/spreadsheetml/2006/main" count="4404" uniqueCount="1066">
  <si>
    <t>INDEX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</si>
  <si>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</si>
  <si>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</si>
  <si>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</si>
  <si>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</si>
  <si>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</si>
  <si>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</si>
  <si>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</si>
  <si>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</si>
  <si>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</si>
  <si>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</si>
  <si>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DATOS CONTRATO</t>
  </si>
  <si>
    <t>EMPRESA CONTRATISTA:</t>
  </si>
  <si>
    <t>DEPARTAMENTO DE ANALISIS Y COSTOS - C.I.V.</t>
  </si>
  <si>
    <t>FECHA Y HORA DE ELABORACIÓN</t>
  </si>
  <si>
    <t>PROYECTO:</t>
  </si>
  <si>
    <t>Nº CONTRATO:</t>
  </si>
  <si>
    <t>DATOS GENERALES</t>
  </si>
  <si>
    <t>TIPO DE JORNADA:</t>
  </si>
  <si>
    <t>DISTANCIA A LA POBLACION O PARADA DE AUTOBUS MAS CERCANA (metros):</t>
  </si>
  <si>
    <t>UBICACIÓN DE LA OBRA:</t>
  </si>
  <si>
    <t>TABULADOR SALARIAL DE FECHA:</t>
  </si>
  <si>
    <t>VALORES DE LAS CLAUSULAS DEL CONTRATO COLECTIVO DE FECHA:</t>
  </si>
  <si>
    <t>DURACION</t>
  </si>
  <si>
    <t>FECHA DE INICIO DEL PROYECTO:</t>
  </si>
  <si>
    <t>FECHA DE FIN DEL PROYECTO:</t>
  </si>
  <si>
    <t>FCAS + BONO:</t>
  </si>
  <si>
    <t>FCAS - BONO:</t>
  </si>
  <si>
    <t>FCAS + CAMPAMENTO - BONO:</t>
  </si>
  <si>
    <t>DATOS TURNOS DE VIGILANCIA</t>
  </si>
  <si>
    <t>DURACION DEL TURNO:</t>
  </si>
  <si>
    <t>TURNO</t>
  </si>
  <si>
    <t>JORNADA DIARIA:           DE 5:00 a.m. A 7:00 p.m.</t>
  </si>
  <si>
    <t>DIURNO</t>
  </si>
  <si>
    <t>MIXTO</t>
  </si>
  <si>
    <t>NOCTURNO</t>
  </si>
  <si>
    <t>TOTAL</t>
  </si>
  <si>
    <t>JORNADA NOCTURNA:   DE 7:00 p.m. A 5:00 a.m.</t>
  </si>
  <si>
    <t>PERSONAS:</t>
  </si>
  <si>
    <t>JORNADA MIXTA:            PERIODOS DIURNOS Y NOCTURNOS</t>
  </si>
  <si>
    <t>CALCULO DEL SALARIO BASICO PROMEDIO</t>
  </si>
  <si>
    <t>TRABAJADORES INSCRITOS EN EL SSO:</t>
  </si>
  <si>
    <t xml:space="preserve">CANTIDAD </t>
  </si>
  <si>
    <t>PERSONAS</t>
  </si>
  <si>
    <t>SALARIO</t>
  </si>
  <si>
    <t>VIGILANTE</t>
  </si>
  <si>
    <t>OPER/MAQ</t>
  </si>
  <si>
    <t>FIJOS</t>
  </si>
  <si>
    <t>Bs/DIA</t>
  </si>
  <si>
    <t>SALARIO BASICO PROMEDIO:</t>
  </si>
  <si>
    <t>Bs/dia</t>
  </si>
  <si>
    <t>CALENDARIO DEL PROYECTO</t>
  </si>
  <si>
    <t>DURACION DEL PROYECTO:</t>
  </si>
  <si>
    <t>AÑOS</t>
  </si>
  <si>
    <t>MESES</t>
  </si>
  <si>
    <t>SEMANAS</t>
  </si>
  <si>
    <t>DIAS</t>
  </si>
  <si>
    <t>REGIMEN SEMANAL:</t>
  </si>
  <si>
    <t>SABADOS SEGÚN CALENDARIO:</t>
  </si>
  <si>
    <t>FERIADOS SEGÚN CALENDARIO PROYECTO :</t>
  </si>
  <si>
    <t>DOMINGOS SEGÚN CALENDARIO:</t>
  </si>
  <si>
    <t>DIAS DE LLUVIA SEGÚN CALENDARIO:</t>
  </si>
  <si>
    <t>FRACCION DE DIAS DE LLUVIA PARA EL PROYECTO</t>
  </si>
  <si>
    <t>TOTAL DE DIAS EFECTIVAMENTE TRABAJADOS (TDET)</t>
  </si>
  <si>
    <t>TOTAL DIAS DE PROYECTO</t>
  </si>
  <si>
    <t>SABADOS DEL PROYECTO:</t>
  </si>
  <si>
    <t>DOMINGOS DEL PROYECTO:</t>
  </si>
  <si>
    <t>DIAS DE LLUVIA DEL PROYECTO:</t>
  </si>
  <si>
    <t>TOTAL DIAS DE PERMISO:</t>
  </si>
  <si>
    <t>FERIADOS DEL PROYECTO:</t>
  </si>
  <si>
    <t>TOTAL DE DIAS EFECTIVAMENTE TRABAJADOS:</t>
  </si>
  <si>
    <t>dias</t>
  </si>
  <si>
    <t>CLAUSULAS CONTRATO COLECTIVO VIGENTE</t>
  </si>
  <si>
    <t>CLAUSULAS GENERALES</t>
  </si>
  <si>
    <t>CLAUSULA</t>
  </si>
  <si>
    <t>DESCRIPCION</t>
  </si>
  <si>
    <t>BONIFICACION</t>
  </si>
  <si>
    <t>TI</t>
  </si>
  <si>
    <t>TRANSFERENCIA DEL TRABAJADOR</t>
  </si>
  <si>
    <t>CLAUSULAS SOCIOECONOMICAS</t>
  </si>
  <si>
    <t>INSTAL.COMEDOR Y ALIMENT. TRABAJADOR</t>
  </si>
  <si>
    <t>REFRIGERIO</t>
  </si>
  <si>
    <t>TRANSPORTE DE LOS TRABAJADORES</t>
  </si>
  <si>
    <t>CONTRIBUCION PARA UTILES ESCOLARES</t>
  </si>
  <si>
    <t>PERMISOS Y CONTRIBUCION NACIMIENTO DE HIJOS</t>
  </si>
  <si>
    <t>PERMISOS Y CONTRIBUCION POR MATRIMONIO</t>
  </si>
  <si>
    <t>BECAS Y CREDITOS ESTUDIANTILES (SÓLO SI DURACION MAYOR A UN AÑO Y 200 TRABAJADORES O MAS)</t>
  </si>
  <si>
    <t>PASANTE</t>
  </si>
  <si>
    <t>FORMACION</t>
  </si>
  <si>
    <t>FORMACION PROFESIONAL Y PASANTIAS</t>
  </si>
  <si>
    <t>VIATICOS</t>
  </si>
  <si>
    <t>SEGURO COLECTIVO</t>
  </si>
  <si>
    <t>PRIMA</t>
  </si>
  <si>
    <t>SEGURO FUNERARIO</t>
  </si>
  <si>
    <t>FONDO DE PROTECCION SOCIAL</t>
  </si>
  <si>
    <t>PLAN DE AHORRO</t>
  </si>
  <si>
    <t>FONDO DE PENSIONES Y JUBILACION</t>
  </si>
  <si>
    <t>PERMISOS REMUNERADOS</t>
  </si>
  <si>
    <t>CAMPAMENTO, DORMITORIOS, ALIMENTACION Y TRANSPORTE</t>
  </si>
  <si>
    <t>(Su evaluación anula las cláusulas 15, 17, 26 y 53)</t>
  </si>
  <si>
    <t>CLAUSULAS ECONOMICAS</t>
  </si>
  <si>
    <t>AISTENCIA PUNTUAL Y PERFECTA</t>
  </si>
  <si>
    <t>JORNADAS ESTRAORDINARIAS DE TRABAJO Y BONO NOCTURNO</t>
  </si>
  <si>
    <t>HORAS</t>
  </si>
  <si>
    <t xml:space="preserve"> PERSONAS</t>
  </si>
  <si>
    <t>X</t>
  </si>
  <si>
    <t xml:space="preserve"> DIAS</t>
  </si>
  <si>
    <t>PAGOS POR TRABAJOS ESPECIALES</t>
  </si>
  <si>
    <t>ALTURAS Y DEPRESIONES</t>
  </si>
  <si>
    <t>INICIO</t>
  </si>
  <si>
    <t>FIN</t>
  </si>
  <si>
    <t xml:space="preserve">ESPACIOS CONFINADOS, </t>
  </si>
  <si>
    <t>ZONAS ACUATICAS O EM</t>
  </si>
  <si>
    <t>BARCACIONES.</t>
  </si>
  <si>
    <t>TUNELES O GALERIAS</t>
  </si>
  <si>
    <t>VACACIONES Y BONO VACACIONAL</t>
  </si>
  <si>
    <t>UTILIDADES</t>
  </si>
  <si>
    <t>PRESTACIONES DE ANTIGÜEDAD POR TERMINO DE LA RELACION DE TRAB.</t>
  </si>
  <si>
    <t>CLAUSULAS RELATIVAS A SEGURIDAD Y SALUD LABORAL</t>
  </si>
  <si>
    <t>CUMPLIMIENTO DISPOSICIONES LEGALES LOPCYMAT</t>
  </si>
  <si>
    <t>CATEGORIA DE RIESGO:</t>
  </si>
  <si>
    <t>GRADO DE RIESGO:</t>
  </si>
  <si>
    <t>PRESTACION DINERARIA POR ENFERMEDAD OCUPACIONAL Y ACCIDENTES DE TRABAJO</t>
  </si>
  <si>
    <t>PRESTACIONES POR DISCAPACIDAD DERIVADA DE ACCIDENTE DE TRABAJO O ENFERMEDAD OCUPACIONAL</t>
  </si>
  <si>
    <t>ACCIDENTES DE TRANSITO COMO ACCIDENTES DE TRABAJO</t>
  </si>
  <si>
    <t>COMITÉ DE HIGIENE Y SEGURIDAD INDUSTRIAL</t>
  </si>
  <si>
    <t>PRIMEROS AUXILIOS</t>
  </si>
  <si>
    <t>INSTALACION DE DUCHAS SANITARIOS Y VESTUARIOS</t>
  </si>
  <si>
    <t>NO APLICA</t>
  </si>
  <si>
    <t>SUMINISTRO DE AGUA POTABLE</t>
  </si>
  <si>
    <t>SUMINISTRO DE BOTAS Y TRAJES DE SEGURIDAD</t>
  </si>
  <si>
    <t>SUMINISTRO DE UNIFORMES PARA VIGILANTES</t>
  </si>
  <si>
    <t>SUMINISTRO DE IMPERMEABLES</t>
  </si>
  <si>
    <t>SUMINISTRO DE ANTEOJOS</t>
  </si>
  <si>
    <t>PROTESIS</t>
  </si>
  <si>
    <t>DOTACION DE TECHO MAQUINARIA PESADA</t>
  </si>
  <si>
    <t>TRABAJOS EN ZONAS INSALUBRES</t>
  </si>
  <si>
    <t>ASISTENCIA MEDICA EN ZONAS QUE NO APLICA LA SEGURIDAD SOCIAL</t>
  </si>
  <si>
    <t>(SEGURO MEDICO)</t>
  </si>
  <si>
    <t>COMITÉ DE EMPRESA</t>
  </si>
  <si>
    <t>PERMISOS SINDICALES</t>
  </si>
  <si>
    <t>LOCAL SINDICAL</t>
  </si>
  <si>
    <t xml:space="preserve">NO APLICA </t>
  </si>
  <si>
    <t>CONTRIBUCION A LAS ACTIVIDADES SINDICALES CULTURALES Y DEPORTIVAS DEL SINDICATO</t>
  </si>
  <si>
    <t>CONTRIBUCION A LAS ACTIVIDADES SINDICALES DE LA FEDERACION</t>
  </si>
  <si>
    <t>CONTRIBUCION A LAS ACTIVIDADES SINDICALES DE LA CONFEDERACION</t>
  </si>
  <si>
    <t>CONTRIBUCION CONMEMORACION DIA DEL TRABAJADOR DE LA CONSTRUCCION</t>
  </si>
  <si>
    <t>CONTRIBUCION CONMEMORACION DIA DEL PRIMERO DE MAYO</t>
  </si>
  <si>
    <t>ARTICULOS LEY SEGURO SOCIAL OBLIGATORIO</t>
  </si>
  <si>
    <t>ARTICULO</t>
  </si>
  <si>
    <t>REGLAMENTO LEY SEGURO SOCIAL OBLIGATORIO</t>
  </si>
  <si>
    <t>(MAXIMO)</t>
  </si>
  <si>
    <t>LEY REGIMEN PRESTACIONAL DE EMPLEO</t>
  </si>
  <si>
    <t>AHORRO HABITACIONAL</t>
  </si>
  <si>
    <t>INCES</t>
  </si>
  <si>
    <t>TOTALES</t>
  </si>
  <si>
    <t>TOTAL DIAS DE PERMISO (TI):</t>
  </si>
  <si>
    <t>TOTAL DIAS DE BONIFICACION (B):</t>
  </si>
  <si>
    <t>TOTAL DIAS SALARIO:</t>
  </si>
  <si>
    <t>TOTAL DIAS PAGADOS:</t>
  </si>
  <si>
    <t>FACTORES DE COSTOS ASOCIADOS AL SALARIO PARA EDIFICACIONES</t>
  </si>
  <si>
    <t>FACTOR DE COSTOS ASOCIADOS AL SALARIO + BONO</t>
  </si>
  <si>
    <t>FACTOR DE COSTOS ASOCIADOS AL SALARIO - BONO</t>
  </si>
  <si>
    <t>FACTOR DE COSTOS ASOCIADOS AL SALARIO + CAMPAMENTO - BONO</t>
  </si>
  <si>
    <t>TEXT</t>
  </si>
  <si>
    <t>TEXT2</t>
  </si>
  <si>
    <t>LONG</t>
  </si>
  <si>
    <t>LONG2</t>
  </si>
  <si>
    <t>LONG3</t>
  </si>
  <si>
    <t>LONG4</t>
  </si>
  <si>
    <t>DATE</t>
  </si>
  <si>
    <t>TIME</t>
  </si>
  <si>
    <t>DATE-TIME</t>
  </si>
  <si>
    <t>DOUBLE2</t>
  </si>
  <si>
    <t>DOUBLE4</t>
  </si>
  <si>
    <t>PERCENT</t>
  </si>
  <si>
    <t>DOUBLEDAYS</t>
  </si>
  <si>
    <t>L</t>
  </si>
  <si>
    <t>M</t>
  </si>
  <si>
    <t>N</t>
  </si>
  <si>
    <t>PROYECTO</t>
  </si>
  <si>
    <t>URBANISMO</t>
  </si>
  <si>
    <t>COSTO</t>
  </si>
  <si>
    <t>&lt;=</t>
  </si>
  <si>
    <t>&lt;= %</t>
  </si>
  <si>
    <t xml:space="preserve"> </t>
  </si>
  <si>
    <t>NN</t>
  </si>
  <si>
    <t>OFICIO</t>
  </si>
  <si>
    <t>FECHA1</t>
  </si>
  <si>
    <t>FECHA2</t>
  </si>
  <si>
    <t>FECHA3</t>
  </si>
  <si>
    <t>FECHA4</t>
  </si>
  <si>
    <t>FECHA5</t>
  </si>
  <si>
    <t>FECHA6</t>
  </si>
  <si>
    <t>FECHA7</t>
  </si>
  <si>
    <t>FECHA8</t>
  </si>
  <si>
    <t>FECHA9</t>
  </si>
  <si>
    <t>FECHA10</t>
  </si>
  <si>
    <t>FECHA11</t>
  </si>
  <si>
    <t>FECHA12</t>
  </si>
  <si>
    <t>FECHA13</t>
  </si>
  <si>
    <t>FECHA14</t>
  </si>
  <si>
    <t>FECHA15</t>
  </si>
  <si>
    <t>FECHA16</t>
  </si>
  <si>
    <t>FECHA17</t>
  </si>
  <si>
    <t>FECHA18</t>
  </si>
  <si>
    <t>FECHA19</t>
  </si>
  <si>
    <t>FECHA20</t>
  </si>
  <si>
    <t>FECHA21</t>
  </si>
  <si>
    <t>FECHA22</t>
  </si>
  <si>
    <t>FECHA23</t>
  </si>
  <si>
    <t>FECHA24</t>
  </si>
  <si>
    <t>ASCSBP1</t>
  </si>
  <si>
    <t>ASCSBP2</t>
  </si>
  <si>
    <t>ASCSBP3</t>
  </si>
  <si>
    <t>ASCSBP4</t>
  </si>
  <si>
    <t>ASCSBP5</t>
  </si>
  <si>
    <t>ASCSBP6</t>
  </si>
  <si>
    <t>ASCSBP7</t>
  </si>
  <si>
    <t>ASCSBP8</t>
  </si>
  <si>
    <t>ASCSBP9</t>
  </si>
  <si>
    <t>ASCSBP10</t>
  </si>
  <si>
    <t>ASCSBP11</t>
  </si>
  <si>
    <t>ASCSBP12</t>
  </si>
  <si>
    <t>ASCSBP13</t>
  </si>
  <si>
    <t>ASCSBP14</t>
  </si>
  <si>
    <t>ASCSBP15</t>
  </si>
  <si>
    <t>ASCSBP16</t>
  </si>
  <si>
    <t>ASCSBP17</t>
  </si>
  <si>
    <t>ASCSBP18</t>
  </si>
  <si>
    <t>ASCSBP19</t>
  </si>
  <si>
    <t>ASCSBP20</t>
  </si>
  <si>
    <t>ASCSBP21</t>
  </si>
  <si>
    <t>ASCSBP22</t>
  </si>
  <si>
    <t>ASCSBP23</t>
  </si>
  <si>
    <t>ASCSBP24</t>
  </si>
  <si>
    <t>ASCSBPP</t>
  </si>
  <si>
    <t>OEQUIP</t>
  </si>
  <si>
    <t>BB</t>
  </si>
  <si>
    <t>FECHAB1</t>
  </si>
  <si>
    <t>FECHAB2</t>
  </si>
  <si>
    <t>FECHAB3</t>
  </si>
  <si>
    <t>FECHAB4</t>
  </si>
  <si>
    <t>FECHAB5</t>
  </si>
  <si>
    <t>FECHAB6</t>
  </si>
  <si>
    <t>FECHAB7</t>
  </si>
  <si>
    <t>FECHAB8</t>
  </si>
  <si>
    <t>FECHAB9</t>
  </si>
  <si>
    <t>FECHAB10</t>
  </si>
  <si>
    <t>FECHAB11</t>
  </si>
  <si>
    <t>FECHAB12</t>
  </si>
  <si>
    <t>FECHAB13</t>
  </si>
  <si>
    <t>FECHAB14</t>
  </si>
  <si>
    <t>FECHAB15</t>
  </si>
  <si>
    <t>FECHAB16</t>
  </si>
  <si>
    <t>FECHAB17</t>
  </si>
  <si>
    <t>FECHAB18</t>
  </si>
  <si>
    <t>FECHAB19</t>
  </si>
  <si>
    <t>FECHAB20</t>
  </si>
  <si>
    <t>FECHAB21</t>
  </si>
  <si>
    <t>FECHAB22</t>
  </si>
  <si>
    <t>FECHAB23</t>
  </si>
  <si>
    <t>FECHAB24</t>
  </si>
  <si>
    <t>TABULADOR</t>
  </si>
  <si>
    <t>AUMENTOS (SALARIOS UTILIZADOS PARA EL CALCULO DEL SBP)</t>
  </si>
  <si>
    <t>SAL. BASICO</t>
  </si>
  <si>
    <t>PONDERADO</t>
  </si>
  <si>
    <t>¿OPERADOR</t>
  </si>
  <si>
    <t>EQUIPO?</t>
  </si>
  <si>
    <t>% de aumento del salario =&gt;</t>
  </si>
  <si>
    <t>ALBAÑIL DE 1ra.</t>
  </si>
  <si>
    <t>ALBAÑIL DE 2da.</t>
  </si>
  <si>
    <t>ALBAÑIL REFRACTARIO</t>
  </si>
  <si>
    <t>ALINEADOR DE GRUA (REGGE)</t>
  </si>
  <si>
    <t>ARMADOR METALICO</t>
  </si>
  <si>
    <t>AUXILIAR DE DEPOSITO</t>
  </si>
  <si>
    <t>AYUDANTE</t>
  </si>
  <si>
    <t>AYUDANTE DE MECANICO DIESEL</t>
  </si>
  <si>
    <t>AYUDANTE DE OPERADORES</t>
  </si>
  <si>
    <t>AYUDANTE DE TOPOGRAFO</t>
  </si>
  <si>
    <t>CABILLERO DE 1ra.</t>
  </si>
  <si>
    <t>CABILLERO DE 2da.</t>
  </si>
  <si>
    <t>CAPORAL</t>
  </si>
  <si>
    <t>CAPORAL DE EQUIPO</t>
  </si>
  <si>
    <t>CARPINTERO DE 1ra.</t>
  </si>
  <si>
    <t>CARPINTERO DE 2da.</t>
  </si>
  <si>
    <t>CAUCHERO</t>
  </si>
  <si>
    <t>CHOFER DE 1ra. (DE 8 A 15 TON)</t>
  </si>
  <si>
    <t>CHOFER DE 2da. (DE 3 A 8 TON)</t>
  </si>
  <si>
    <t>CHOFER DE 3ra. (HASTA 3 TON)</t>
  </si>
  <si>
    <t>CHOFER DE 4ta.</t>
  </si>
  <si>
    <t>CHOFER DE CAMION MAS DE 15 TON</t>
  </si>
  <si>
    <t>CHOFER DE CAMION MEZCLADOR</t>
  </si>
  <si>
    <t>CHOFER DE GANDOLA DE 1ra. (TODO TON)</t>
  </si>
  <si>
    <t>CHOFER DE GANDOLA DE 2da. (DE 15-40 TON)</t>
  </si>
  <si>
    <t>CHOFER VOLTEO 30 O MAS TONELADAS</t>
  </si>
  <si>
    <t>DEPOSITARIO</t>
  </si>
  <si>
    <t>DINAMITERO</t>
  </si>
  <si>
    <t>DUCTERO</t>
  </si>
  <si>
    <t>ELECTRICISTA DE 1ra.</t>
  </si>
  <si>
    <t>ELECTRICISTA DE 2da.</t>
  </si>
  <si>
    <t>ENGRASADOR</t>
  </si>
  <si>
    <t>ESPESORISTA</t>
  </si>
  <si>
    <t>GRANITERO DE 1ra.</t>
  </si>
  <si>
    <t>GRANITERO DE 2da.</t>
  </si>
  <si>
    <t>GÜINCHERO</t>
  </si>
  <si>
    <t>IMPERMEABILIZADOR DE 1ra.</t>
  </si>
  <si>
    <t>IMPERMEABILIZADOR DE 2da.</t>
  </si>
  <si>
    <t>INSTALADOR ELECTROMECANICO DE 1ra.</t>
  </si>
  <si>
    <t>INSTALADOR ELECTROMECANICO DE 2da.</t>
  </si>
  <si>
    <t>LATONERO DE 1ra.</t>
  </si>
  <si>
    <t>LATONERO DE 2da.</t>
  </si>
  <si>
    <t>LINIERO DE 1ra.</t>
  </si>
  <si>
    <t>MAESTRO ALBAÑIL</t>
  </si>
  <si>
    <t>MAESTRO CABILLERO</t>
  </si>
  <si>
    <t>MAESTRO CARPINTERO DE 1ra.</t>
  </si>
  <si>
    <t>MAESTRO CARPINTERO DE 2da.</t>
  </si>
  <si>
    <t>MAESTRO DE OBRA DE 1ra.</t>
  </si>
  <si>
    <t>MAESTRO DE OBRA DE 2da.</t>
  </si>
  <si>
    <t>MAESTRO DE OBRAS ELECTROMECANICAS</t>
  </si>
  <si>
    <t>MAESTRO DE VOLADURAS</t>
  </si>
  <si>
    <t>MAESTRO ELECTRICISTA</t>
  </si>
  <si>
    <t>MAESTRO GRANITERO</t>
  </si>
  <si>
    <t>MAESTRO IMPERMEABILIZADOR</t>
  </si>
  <si>
    <t>MAESTRO MECANICO</t>
  </si>
  <si>
    <t>MAESTRO PINTOR</t>
  </si>
  <si>
    <t>MAESTRO PLOMERO DE 1ra.</t>
  </si>
  <si>
    <t>MAQUINISTA DE CONCRETO DE 1ra.</t>
  </si>
  <si>
    <t>MAQUINISTA DE CONCRETO DE 2da.</t>
  </si>
  <si>
    <t>MECANICO DE GASOLINA DE 1ra.</t>
  </si>
  <si>
    <t>MECANICO DE GASOLINA DE 2da.</t>
  </si>
  <si>
    <t>MECANICO EQUIPO PESADO DE 1ra.</t>
  </si>
  <si>
    <t>MECANICO EQUIPO PESADO DE 2da.</t>
  </si>
  <si>
    <t>MINERO</t>
  </si>
  <si>
    <t>MONTADOR</t>
  </si>
  <si>
    <t>OBRERO DE 1ra.</t>
  </si>
  <si>
    <t>OPERADOR DE ALIVA</t>
  </si>
  <si>
    <t>OPERADOR DE EQUIPO LIVIANO</t>
  </si>
  <si>
    <t>OPERADOR DE EQUIPO PERFORADOR</t>
  </si>
  <si>
    <t>OPERADOR DE EQUIPO PESADO DE 1ra.</t>
  </si>
  <si>
    <t>OPERADOR DE EQUIPO PESADO DE 2da.</t>
  </si>
  <si>
    <t>OPERADOR DE GRUA (GRUERO) DE 1ra.</t>
  </si>
  <si>
    <t>OPERADOR DE GRUA (GRUERO) DE 2da.</t>
  </si>
  <si>
    <t>OPERADOR DE MARTILLO PERFORADOR</t>
  </si>
  <si>
    <t>OPERADOR DE MOTONIVELADORA DE 1ra.</t>
  </si>
  <si>
    <t>OPERADOR DE MOTONIVELADORA DE 2da.</t>
  </si>
  <si>
    <t>OPERADOR DE MOTOTRAILLA DE 1ra.</t>
  </si>
  <si>
    <t>OPERADOR DE MOTOTRAILLA DE 2da.</t>
  </si>
  <si>
    <t>OPERADOR DE PALA HASTA 1 YARDA CUBICA</t>
  </si>
  <si>
    <t>OPERADOR DE PALA MAS 1 YARDA CUB. DE 1ra.</t>
  </si>
  <si>
    <t>OPERADOR DE PALA MAS 1 YARDA CUB. DE 2da.</t>
  </si>
  <si>
    <t>OPERADOR DE PAVIMENTADORA</t>
  </si>
  <si>
    <t>OPERADOR DE PLANTA</t>
  </si>
  <si>
    <t>OPERADOR DE PLANTA FIJA DE 1ra.</t>
  </si>
  <si>
    <t>OPERADOR DE PLANTA FIJA DE 2da.</t>
  </si>
  <si>
    <t>OPERADOR EQUIPO DE SANDBLASTING</t>
  </si>
  <si>
    <t>OPERADOR MAQUINAS-HERRAMIENTAS 1ra.</t>
  </si>
  <si>
    <t>OPERADOR MAQUINAS-HERRAMIENTAS 2da.</t>
  </si>
  <si>
    <t>PALERO ASFALTICO</t>
  </si>
  <si>
    <t>PINTOR DE 1ra.</t>
  </si>
  <si>
    <t>PINTOR DE 2da.</t>
  </si>
  <si>
    <t>PLOMERO DE 1ra.</t>
  </si>
  <si>
    <t>PLOMERO DE 2da.</t>
  </si>
  <si>
    <t>PROYECTADOR DE CONCRETO</t>
  </si>
  <si>
    <t>RASTRILLERO</t>
  </si>
  <si>
    <t>SOLDADOR DE 1ra.</t>
  </si>
  <si>
    <t>SOLDADOR DE 2da.</t>
  </si>
  <si>
    <t>SOLDADOR DE 3ra.</t>
  </si>
  <si>
    <t>TRACTORISTA DE 1ra.</t>
  </si>
  <si>
    <t>TRACTORISTA DE 2da.</t>
  </si>
  <si>
    <t>TUBERO FABRICADOR</t>
  </si>
  <si>
    <t>TABLA GENERAL TIPO DE JORNADA</t>
  </si>
  <si>
    <t>NUMERO</t>
  </si>
  <si>
    <t>DATOS</t>
  </si>
  <si>
    <t>DIURNA</t>
  </si>
  <si>
    <t>NOCTURNA</t>
  </si>
  <si>
    <t>AUMENTO POR JORNADA NOCTURNA</t>
  </si>
  <si>
    <t>TABLA GENERAL MODALIDAD DE CALCULO Y FECHAS DE VENCIMINETO</t>
  </si>
  <si>
    <t>FECHAS DE AUMENTO DE SALARIOS</t>
  </si>
  <si>
    <t>LUGAR DE RESIDENCIA DE LOS TRABAJADORES</t>
  </si>
  <si>
    <t>CLAUSULA DEL CONTRATO COLECTIVO</t>
  </si>
  <si>
    <t>COD</t>
  </si>
  <si>
    <t>FECHA/Titulo</t>
  </si>
  <si>
    <t>LUGAR</t>
  </si>
  <si>
    <t>FECHA</t>
  </si>
  <si>
    <t>1</t>
  </si>
  <si>
    <t>RESIDENCIA</t>
  </si>
  <si>
    <t>VALORES DE FECHAS EN ESTAS COLUMNAS</t>
  </si>
  <si>
    <t>2</t>
  </si>
  <si>
    <t>LEJOS RESIDENCIA</t>
  </si>
  <si>
    <t>SON REFERENCIADOS POR CELDAS ORIGINALES</t>
  </si>
  <si>
    <t>3</t>
  </si>
  <si>
    <t>PROGRAMA COLOCA LA DATA ORIGINAL AQUÍ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</si>
  <si>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</si>
  <si>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</si>
  <si>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</si>
  <si>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</si>
  <si>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</si>
  <si>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</si>
  <si>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</si>
  <si>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</si>
  <si>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</si>
  <si>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</si>
  <si>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</si>
  <si>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</si>
  <si>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</si>
  <si>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</si>
  <si>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</si>
  <si>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</si>
  <si>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</si>
  <si>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</si>
  <si>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</si>
  <si>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</si>
  <si>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</si>
  <si>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TABLA GENERAL TURNOS E VIGILANCIA</t>
  </si>
  <si>
    <t>AUMENTO POR JORNADA MIXTA</t>
  </si>
  <si>
    <t>TABLA GENERAL CALENDARIOS DIAS DE LA SEMANA Y HORAS SEMANALES</t>
  </si>
  <si>
    <t>REGIMEN</t>
  </si>
  <si>
    <t>DOMINGO</t>
  </si>
  <si>
    <t>40 HORASxSEMANA</t>
  </si>
  <si>
    <t>LUNES</t>
  </si>
  <si>
    <t>MARTES</t>
  </si>
  <si>
    <t>MIERCOLES</t>
  </si>
  <si>
    <t>JUEVES</t>
  </si>
  <si>
    <t>VIERNES</t>
  </si>
  <si>
    <t>SABADO</t>
  </si>
  <si>
    <t>TASA DE NATALIDAD</t>
  </si>
  <si>
    <t>TASA ANUAL NATALIDAD</t>
  </si>
  <si>
    <t>19.56</t>
  </si>
  <si>
    <t>POR</t>
  </si>
  <si>
    <t>1000</t>
  </si>
  <si>
    <t>PORCENTAJE</t>
  </si>
  <si>
    <t>TASA DE MATRIMONIOS</t>
  </si>
  <si>
    <t>TASA ANUAL MATRIMONIOS</t>
  </si>
  <si>
    <t>TASA DE MORTALIDAD</t>
  </si>
  <si>
    <t>TASA ANUAL MORTALIDAD</t>
  </si>
  <si>
    <t>5.53</t>
  </si>
  <si>
    <t>PORCENTAJES DE FONDO SOCIAL, PLAN DE AHORRO Y PENSION Y JUBILACION</t>
  </si>
  <si>
    <t>2.00%</t>
  </si>
  <si>
    <t>TABLA DE RIESGOS SEGÚN TIPO DE OBRA</t>
  </si>
  <si>
    <t>CLASIFICACION DE RIESGO</t>
  </si>
  <si>
    <t>MINIMO</t>
  </si>
  <si>
    <t>PROMEDIO</t>
  </si>
  <si>
    <t>MAXIMO</t>
  </si>
  <si>
    <t>RIESGO MINIMO</t>
  </si>
  <si>
    <t>CLASE I</t>
  </si>
  <si>
    <t>28</t>
  </si>
  <si>
    <t>RIEGO BAJO</t>
  </si>
  <si>
    <t>CLASE II</t>
  </si>
  <si>
    <t>35</t>
  </si>
  <si>
    <t>49</t>
  </si>
  <si>
    <t>RIESGO MEDIO</t>
  </si>
  <si>
    <t>CLASE III</t>
  </si>
  <si>
    <t>64</t>
  </si>
  <si>
    <t>93</t>
  </si>
  <si>
    <t>RIESGO ALTO</t>
  </si>
  <si>
    <t>CLASE IV</t>
  </si>
  <si>
    <t>122</t>
  </si>
  <si>
    <t>RIESGO MAXIMO</t>
  </si>
  <si>
    <t>CLASE V</t>
  </si>
  <si>
    <t>102</t>
  </si>
  <si>
    <t>186</t>
  </si>
  <si>
    <t>TABLA DE EVALUACION DE ACCIDENTES DE TRABAJO SEGÚN LA DURACIÓN DE LA OBRA</t>
  </si>
  <si>
    <t>% PERSONAS</t>
  </si>
  <si>
    <t>EVENTOS</t>
  </si>
  <si>
    <t>10.00%</t>
  </si>
  <si>
    <t>15.00%</t>
  </si>
  <si>
    <t>20.00%</t>
  </si>
  <si>
    <t>CALCULO DE LOS PERIODOS PARA EL SALARIO BASICO PROMEDIO</t>
  </si>
  <si>
    <t>FECHA INICIO DEL PROYECTO:</t>
  </si>
  <si>
    <t>FECHA FIN DEL PROYECTO:</t>
  </si>
  <si>
    <t>dias según fecha:</t>
  </si>
  <si>
    <t>cantidad:</t>
  </si>
  <si>
    <t>PERIODO AUMENTOS</t>
  </si>
  <si>
    <t>UBICACIÓN</t>
  </si>
  <si>
    <t xml:space="preserve">DURACION </t>
  </si>
  <si>
    <t>INICIO PROYECTO</t>
  </si>
  <si>
    <t>DENTRO DEL</t>
  </si>
  <si>
    <t>INICIO PERIODO</t>
  </si>
  <si>
    <t xml:space="preserve">INICIO </t>
  </si>
  <si>
    <t>FIN PERIODO</t>
  </si>
  <si>
    <t>PERIODO</t>
  </si>
  <si>
    <t>FIN PROYECTO</t>
  </si>
  <si>
    <t>CORRECCION</t>
  </si>
  <si>
    <t>CALCULO DE PERIODOS PARA SABADOS, DOMINGOS Y FERIADOS</t>
  </si>
  <si>
    <t>Nro.</t>
  </si>
  <si>
    <t>AÑO</t>
  </si>
  <si>
    <t>SABADOS</t>
  </si>
  <si>
    <t>DOMINGOS</t>
  </si>
  <si>
    <t>FERIADOS</t>
  </si>
  <si>
    <t>DIAS DEL PROYECTO POR AÑO</t>
  </si>
  <si>
    <t>TOTAL DIAS DEL AÑO</t>
  </si>
  <si>
    <t>TOTAL MESES</t>
  </si>
  <si>
    <t>TOTAL SEMANAS</t>
  </si>
  <si>
    <t>TOTAL SABADOS</t>
  </si>
  <si>
    <t>TOTAL DOMINGOS</t>
  </si>
  <si>
    <t>TOTAL FERIADOS</t>
  </si>
  <si>
    <t>CALCULO DE PERIODOS PARA LOS COSTOS POR BONO DE UTILES ESCOLARES</t>
  </si>
  <si>
    <t>BONO</t>
  </si>
  <si>
    <t>VALOR</t>
  </si>
  <si>
    <t>FECHAS</t>
  </si>
  <si>
    <t>CALCULO DE PERIODOS PARA LOS COSTOS POR BONO DE MATRIMONIOS Y NACIMIENTO DE HIJOS</t>
  </si>
  <si>
    <t>CORECCION</t>
  </si>
  <si>
    <t>MATRIMONIO</t>
  </si>
  <si>
    <t>NACIMIENTO DE HIJOS</t>
  </si>
  <si>
    <t>CALCULO</t>
  </si>
  <si>
    <t>Bs</t>
  </si>
  <si>
    <t>1500</t>
  </si>
  <si>
    <t>3000</t>
  </si>
  <si>
    <t>2000</t>
  </si>
  <si>
    <t>SALARIO MINIMO NACIONAL</t>
  </si>
  <si>
    <t>PERIODO I</t>
  </si>
  <si>
    <t>PERIODO II</t>
  </si>
  <si>
    <t>SminN</t>
  </si>
  <si>
    <t>177507.44</t>
  </si>
  <si>
    <t>PAGO POR TRABAJOS ESPECIALES</t>
  </si>
  <si>
    <t>FECHA INICIO DEL PERIODO:</t>
  </si>
  <si>
    <t>FECHA FIN DEL PERIODO:</t>
  </si>
  <si>
    <t>ESPACIOS CONFINADOS</t>
  </si>
  <si>
    <t>TUNELES Y GALERIAS</t>
  </si>
  <si>
    <t>PAGO POR VACACIONES Y BONO VACACIONAL</t>
  </si>
  <si>
    <t>POR AÑO</t>
  </si>
  <si>
    <t>80</t>
  </si>
  <si>
    <t>FRACION</t>
  </si>
  <si>
    <t>DIA</t>
  </si>
  <si>
    <t>PAGO POR UTILIDADES</t>
  </si>
  <si>
    <t>100</t>
  </si>
  <si>
    <t>INCREMENTO POR BONIFICACIONES:</t>
  </si>
  <si>
    <t>FRACCION POR DIA:</t>
  </si>
  <si>
    <t>CLAUSULA 74, 75 Y 76 (CONTRIBUCIONES A LOS SINDICATOS, FEDERACIONES Y CONFEDERACIONES)</t>
  </si>
  <si>
    <t>220</t>
  </si>
  <si>
    <t>CLAUSULA 77 Y 78 (DIA DEL TRABAJADOR Y 1º DE MAYO</t>
  </si>
  <si>
    <t>260</t>
  </si>
  <si>
    <t>330</t>
  </si>
  <si>
    <t>O</t>
  </si>
  <si>
    <t>P</t>
  </si>
  <si>
    <t>CLAUSULA 17 INSTALACION DE COMEDOR Y ALIMENTACION DE LOS TRABAJADORES</t>
  </si>
  <si>
    <t>COSTO COMEDOR:</t>
  </si>
  <si>
    <t>m2</t>
  </si>
  <si>
    <t>PARTIDA</t>
  </si>
  <si>
    <t>PU</t>
  </si>
  <si>
    <t>SUBTOTAL</t>
  </si>
  <si>
    <t>CONCRETO BASE 200</t>
  </si>
  <si>
    <t>m3/m2</t>
  </si>
  <si>
    <t>E.323.000.120</t>
  </si>
  <si>
    <t>TECHO</t>
  </si>
  <si>
    <t>m2/m2</t>
  </si>
  <si>
    <t>E.391.233.005</t>
  </si>
  <si>
    <t>TUBERIA EMT</t>
  </si>
  <si>
    <t>m/m2</t>
  </si>
  <si>
    <t>E.512.211.013</t>
  </si>
  <si>
    <t>CABLE</t>
  </si>
  <si>
    <t>E.114.101.019</t>
  </si>
  <si>
    <t>SUMINITRO EST. METAL.</t>
  </si>
  <si>
    <t>Kgf/m2</t>
  </si>
  <si>
    <t>E.361.111.100</t>
  </si>
  <si>
    <t>FABICACION EST. METALICA</t>
  </si>
  <si>
    <t>E.361.220.000</t>
  </si>
  <si>
    <t>MONTAJE EST. METALICA</t>
  </si>
  <si>
    <t>E.361.511.000</t>
  </si>
  <si>
    <t>TOTAL:</t>
  </si>
  <si>
    <t>COSTO DE LA EDIFICACION PARA EL PROYECTO (Bs.)</t>
  </si>
  <si>
    <t>COCINA</t>
  </si>
  <si>
    <t>NEVERA</t>
  </si>
  <si>
    <t>COSTO EQUIPOS:</t>
  </si>
  <si>
    <t>COSTO DE LOS EQUIPOS PARA EL PROYECTO (Bs.)</t>
  </si>
  <si>
    <t>ALIMENTOS</t>
  </si>
  <si>
    <t>Bs*PERSONA/DIA</t>
  </si>
  <si>
    <t>COSTO ALIMENTOS</t>
  </si>
  <si>
    <t>COSTO DE LOS ALIMENTOS PARA EL PROYECTO (Bs.)</t>
  </si>
  <si>
    <t>COSTOS COCINERAS</t>
  </si>
  <si>
    <t>COSTOS DE LAS COCINERAS PARA EL PROYECTO (Bs:)</t>
  </si>
  <si>
    <t>TOTAL PROYECTO</t>
  </si>
  <si>
    <t>COSTO TOTAL PARA EL PROYECTO (Bs)</t>
  </si>
  <si>
    <t>DIAS/PERSONA</t>
  </si>
  <si>
    <t>BOLIVARES POR DIA / TOTAL DE PERSONAL / SALARIO BASICO PARA LLEVAR EL VALOR DE BOLIVARES A DIAS</t>
  </si>
  <si>
    <t>CLAUSULA 19 TRANSPORTE DE LOS TRABAJADORES</t>
  </si>
  <si>
    <t>CHOFER</t>
  </si>
  <si>
    <t>AUTOBUS</t>
  </si>
  <si>
    <t>CLAUSULA 37 CAMPAMENTO</t>
  </si>
  <si>
    <t>MOBILIARIO Y LENCERIA</t>
  </si>
  <si>
    <t>CANTIDAD</t>
  </si>
  <si>
    <t>P.U.</t>
  </si>
  <si>
    <t>COP</t>
  </si>
  <si>
    <t>LITERAS</t>
  </si>
  <si>
    <t>25</t>
  </si>
  <si>
    <t>PARA 50 TRABAJADORES</t>
  </si>
  <si>
    <t>LOCKERS</t>
  </si>
  <si>
    <t>TOTAL Bs/PERSONA</t>
  </si>
  <si>
    <t>SABANAS</t>
  </si>
  <si>
    <t>ALMOHADAS</t>
  </si>
  <si>
    <t>50</t>
  </si>
  <si>
    <t>COLCHON</t>
  </si>
  <si>
    <t>LAVADORAS</t>
  </si>
  <si>
    <t>SECADORAS</t>
  </si>
  <si>
    <t>COSTO DE LA LENCERIA PARA EL PROYECTO (Bs.)</t>
  </si>
  <si>
    <t>ESTRUCTURA DORMITORIO</t>
  </si>
  <si>
    <t>DORMITORIO</t>
  </si>
  <si>
    <t>VESTUARIOS Y DUCHAS</t>
  </si>
  <si>
    <t>E.111.300.000</t>
  </si>
  <si>
    <t>Bs/m2</t>
  </si>
  <si>
    <t>COSTO VETUARIOS</t>
  </si>
  <si>
    <t>SANITARIOS</t>
  </si>
  <si>
    <t>E.111.400.000</t>
  </si>
  <si>
    <t>COSTO SANITARIOS</t>
  </si>
  <si>
    <t>COSTO MEDICO</t>
  </si>
  <si>
    <t>MEDICINAS</t>
  </si>
  <si>
    <t>COSTO DE LA MEDICINAS PARA EL PROYECTO (Bs.)</t>
  </si>
  <si>
    <t>MEDICO</t>
  </si>
  <si>
    <t>BS/Mes</t>
  </si>
  <si>
    <t>BS/Año</t>
  </si>
  <si>
    <t>FCAS</t>
  </si>
  <si>
    <t>COSTO DE LA MEDICOS PARA EL PROYECTO (Bs.)</t>
  </si>
  <si>
    <t>COSTO AMBULANCIA</t>
  </si>
  <si>
    <t>AMBULANCIA</t>
  </si>
  <si>
    <t>COSTO DE LA AMBULANCIA PARA EL PROYECTO (Bs.)</t>
  </si>
  <si>
    <t>CHOFER AMBULANCIA</t>
  </si>
  <si>
    <t>RESUMEN</t>
  </si>
  <si>
    <t>COSTO INSTALACIONES DE DORMITORIO</t>
  </si>
  <si>
    <t>COSTO TOTAL PARA EL PROYECTO (Bs.)</t>
  </si>
  <si>
    <t>COSTO INSTALACIONES DE COMEDOR</t>
  </si>
  <si>
    <t>COSTO SERVICIOS MEDICOS</t>
  </si>
  <si>
    <t>COSTO SERVICIOS TRANSPORTE</t>
  </si>
  <si>
    <t>CLAUSULA 39  TRABAJO EN FERIADOS, SABADOS Y DOMINGOS</t>
  </si>
  <si>
    <t>PAGADO</t>
  </si>
  <si>
    <t>TOTAL DE DIAS SABADOS</t>
  </si>
  <si>
    <t>DESCANSO</t>
  </si>
  <si>
    <t>TOTAL DE DIAS DOMINGOS</t>
  </si>
  <si>
    <t>TOTAL DE DIAS FERIADOS</t>
  </si>
  <si>
    <t>TOTAL=</t>
  </si>
  <si>
    <t>CLAUSULA 44 VACACIONES Y BONO VACACIONAL</t>
  </si>
  <si>
    <t>FRACCION DE DIAS DE DISFRUTE:</t>
  </si>
  <si>
    <t>FRACCION DE DIAS DE BONO:</t>
  </si>
  <si>
    <t>ANTIGÜEDAD</t>
  </si>
  <si>
    <t>ESTIMADAS</t>
  </si>
  <si>
    <t>TOTAL DE</t>
  </si>
  <si>
    <t>ROTACION</t>
  </si>
  <si>
    <t>DIAS POR PERSONA</t>
  </si>
  <si>
    <t>CLAUSULA 44 VACACIONES Y BONO VACACIONAL DE REPARACIONES Y MANTENIMIENTO</t>
  </si>
  <si>
    <t>CLAUSULA 45 UTILIDADES</t>
  </si>
  <si>
    <t>DETALLE CALCULO DEL INCREMETO POR BONIFICACIONES</t>
  </si>
  <si>
    <t>CLAUSULA 21</t>
  </si>
  <si>
    <t>CONTIBUCION POR NACIMIENTOS DE HIJOS:</t>
  </si>
  <si>
    <t>CLAUSULA 22</t>
  </si>
  <si>
    <t>CONTRIBUCION POR MATRIMONIO:</t>
  </si>
  <si>
    <t>CLAUSULA 38</t>
  </si>
  <si>
    <t>ASISTENCIA PUNTUAL Y PERFECTA:</t>
  </si>
  <si>
    <t>CLAUSULA 40</t>
  </si>
  <si>
    <t>PAGOS POR TRABAJOS ESPECIALES:</t>
  </si>
  <si>
    <t>CLAUSULA 39</t>
  </si>
  <si>
    <t>PAGOS JORNADAS EXTRAORDINARIAS:</t>
  </si>
  <si>
    <t>CLAUSULA 44</t>
  </si>
  <si>
    <t>PAGOS BONO VACACIONAL:</t>
  </si>
  <si>
    <t>CLAUSULA 45</t>
  </si>
  <si>
    <t>PAGO BONO POR UTILIDADES:</t>
  </si>
  <si>
    <t>IB</t>
  </si>
  <si>
    <t>INCREMENTO POR BONIFICACION:</t>
  </si>
  <si>
    <t>CLAUSULA 45 UTILIDADES DE REPARACIONES Y MANTENIMIENTO</t>
  </si>
  <si>
    <t>CLAUSULA 19</t>
  </si>
  <si>
    <t>CLAUSULA 20</t>
  </si>
  <si>
    <t>CLAUSULA 36</t>
  </si>
  <si>
    <t>CLAUSULA 37</t>
  </si>
  <si>
    <t>CLAUSULA 42</t>
  </si>
  <si>
    <t>CLAUSULA 47  PRESTACIONES DE ANTIGÜEDAD POR TERMINO DE LA RELACION DE TRABAJO</t>
  </si>
  <si>
    <t>PREAVISO ART. 104 ANTIGUA LEY  (ELIMINADO DE LA LOTTT)</t>
  </si>
  <si>
    <t>PREAVISO             ( REVISADO CON:   EL CONTRATO COLECTIVO DE LA CONSTRUCCION Y  LA LEY DEL TRABAJO )</t>
  </si>
  <si>
    <t>ESTE BENEFICO DEL TRABAJADOR PUEDE OMITIRSE SI SE CANCELA DE ANTEMANO EL PAGO DE LOS DIAS DE SALARIO</t>
  </si>
  <si>
    <t>ANTIGÜEDAD &lt;= 1 MES :</t>
  </si>
  <si>
    <t>DÍAS</t>
  </si>
  <si>
    <t>SEGÚN LEY ORGANICA DEL TRABAJO</t>
  </si>
  <si>
    <t>2 MESES:</t>
  </si>
  <si>
    <t>3 MESES:</t>
  </si>
  <si>
    <t>4 MESES:</t>
  </si>
  <si>
    <t>&lt;= LOS VALORES DE ESTA TABLA SE INTRODUCEN A MANO</t>
  </si>
  <si>
    <t>5 MESES:</t>
  </si>
  <si>
    <t>6 MESES:</t>
  </si>
  <si>
    <t>7 MESES:</t>
  </si>
  <si>
    <t>8 MESES:</t>
  </si>
  <si>
    <t>9 MESES:</t>
  </si>
  <si>
    <t>10 MESES:</t>
  </si>
  <si>
    <t>11 MESES:</t>
  </si>
  <si>
    <t>12 MESES:</t>
  </si>
  <si>
    <t>BENEFICIOS ART. 144</t>
  </si>
  <si>
    <t>PRESTACIONES POR ANTIGUEDAD    ( REVISADO CON:   EL CONTRATO COLECTIVO DE LA CONSTRUCCION Y  LA LEY DEL TRABAJO )</t>
  </si>
  <si>
    <t>SEGÚN CONTRATO COLECTIVO</t>
  </si>
  <si>
    <t>ANTIGÜEDAD  1 MES :</t>
  </si>
  <si>
    <t>2 MES :</t>
  </si>
  <si>
    <t>3 MES :</t>
  </si>
  <si>
    <t>4 MES :</t>
  </si>
  <si>
    <t>5 MES :</t>
  </si>
  <si>
    <t>6 MES :</t>
  </si>
  <si>
    <t>7 MES :</t>
  </si>
  <si>
    <t>8 MES :</t>
  </si>
  <si>
    <t>9 MES :</t>
  </si>
  <si>
    <t>10 MES :</t>
  </si>
  <si>
    <t>11 MES :</t>
  </si>
  <si>
    <t>12 MES :</t>
  </si>
  <si>
    <t>BENEFICIOS ART. 142</t>
  </si>
  <si>
    <t>TERMINACION DE LA RELACION DE TRABAJO    ( REVISADO CON:   EL CONTRATO COLECTIVO DE LA CONSTRUCCION Y  LA LEY DEL TRABAJO )</t>
  </si>
  <si>
    <t>PREAVISO</t>
  </si>
  <si>
    <t>PRESTACIONES</t>
  </si>
  <si>
    <t>INDEMNIZACION</t>
  </si>
  <si>
    <t>ELIMINADO</t>
  </si>
  <si>
    <t>ART. 144</t>
  </si>
  <si>
    <t>ART. 92?</t>
  </si>
  <si>
    <t>CLAUSULA 49 CUMPLIMIENTO DE LAS DIPOSICIONES LEGALES LOPCYMAT</t>
  </si>
  <si>
    <t xml:space="preserve">LOPCYMAT ARTICULO 41 </t>
  </si>
  <si>
    <t>DELEGADO</t>
  </si>
  <si>
    <t>Nº DE TRABAJADORES &lt;= 10</t>
  </si>
  <si>
    <t>Nº DE TRABAJADORES 11 A 50</t>
  </si>
  <si>
    <t>Nº DE TRABAJADORES 51 A 250</t>
  </si>
  <si>
    <t>NUMERO DE DELEGADOS</t>
  </si>
  <si>
    <t>DELEGADOS</t>
  </si>
  <si>
    <t>DIAS ACTIVIDAD SEMANAL</t>
  </si>
  <si>
    <t>&lt;= ESTE VALOR SE INTRODUCE A MANO</t>
  </si>
  <si>
    <t>SEMANAS:</t>
  </si>
  <si>
    <t>LOPCYMAT ARTICULO 95</t>
  </si>
  <si>
    <t>TOTAL DE SALARIOS:</t>
  </si>
  <si>
    <t>Bs/PERSONA</t>
  </si>
  <si>
    <t>RIESGO  ASIGNADO A LA EMPRESA:</t>
  </si>
  <si>
    <t>COTIZACION PARA FONDO PRESTACIONAL DE SEGURIDAD Y SALUD:</t>
  </si>
  <si>
    <t>Bs/PRIMA</t>
  </si>
  <si>
    <t>CLAUSULA 50 ENFERMEDAD OCUPACIONAL Y ACCIDENTES DE TRABAJO</t>
  </si>
  <si>
    <t>DURACION:</t>
  </si>
  <si>
    <t>NUMERO DE EVENTOS</t>
  </si>
  <si>
    <t>PERSONAS INVOLUCRADAS</t>
  </si>
  <si>
    <t>DURACION DEL PERMISO</t>
  </si>
  <si>
    <t>CLAUSULA 51 PRESTACIONES POR DISCAPACIDAD DERIVADA DE ACCIDENTES DE TRABJO O ENFERMEDAD OCUPACIONAL</t>
  </si>
  <si>
    <t>TDP</t>
  </si>
  <si>
    <t>SBP</t>
  </si>
  <si>
    <t>SMN</t>
  </si>
  <si>
    <t>RECARGO</t>
  </si>
  <si>
    <t>&lt;= EL VALOR DEL RECARGO (%) INTRODUCE A MANO</t>
  </si>
  <si>
    <t>LOPCYMAT TITULO VII</t>
  </si>
  <si>
    <t>POSIBLES</t>
  </si>
  <si>
    <t>ARTICULO 85</t>
  </si>
  <si>
    <t>MUERTE (ARTICULO 577 COSTOS FUNERARIOS)</t>
  </si>
  <si>
    <t>Dias por</t>
  </si>
  <si>
    <t>Bs.</t>
  </si>
  <si>
    <t>DUR.DEL PROY.</t>
  </si>
  <si>
    <t>AFECTARAS</t>
  </si>
  <si>
    <t>PROBABILIDAD</t>
  </si>
  <si>
    <t>PESONAS</t>
  </si>
  <si>
    <t>Dias</t>
  </si>
  <si>
    <t>Incidentes</t>
  </si>
  <si>
    <t>PAGO</t>
  </si>
  <si>
    <t>ARTICULO 80</t>
  </si>
  <si>
    <t>DISMIINUCION PARCIAL Y DEFINITIVA &gt; 25%</t>
  </si>
  <si>
    <t>Incidentes/Año</t>
  </si>
  <si>
    <t>ARTICULO 79</t>
  </si>
  <si>
    <t>INCAPACIDAD PARCIAL Y TEMPORAL &lt; DUR. PROYECTO</t>
  </si>
  <si>
    <t>DISCAPACIDAD TEMPORAL HASTA 12 MESES</t>
  </si>
  <si>
    <t>INCAPACIDAD PARCIAL Y TEMPORAL =&gt; DUR. PROYECTO</t>
  </si>
  <si>
    <t>DIAS POR PERSONA CLAUSULA 50:</t>
  </si>
  <si>
    <t>DIAS POR PERSONA CLAUSULA 51:</t>
  </si>
  <si>
    <t>CLAUSULA 53 COMITÉ DE HIGIENE Y SEGURIDAD</t>
  </si>
  <si>
    <t>REPRESENTANTES:</t>
  </si>
  <si>
    <t>CLAUSULA 54 PRIMEROS AUXILIOS</t>
  </si>
  <si>
    <t>REPOSICION</t>
  </si>
  <si>
    <t>VECES/AÑO</t>
  </si>
  <si>
    <t>&lt;= ESTE VALOR (REPOSICION) SE INTRODUCE A MANO</t>
  </si>
  <si>
    <t>TRASLADO</t>
  </si>
  <si>
    <t>COSTO:</t>
  </si>
  <si>
    <t>CLAUSULA 56 SUMINISTRO DE AGUA POTABLE</t>
  </si>
  <si>
    <t>COSTO TERMO DE AGUA (44 Lts)</t>
  </si>
  <si>
    <t>Bs/und</t>
  </si>
  <si>
    <t>CAPACIDAD:</t>
  </si>
  <si>
    <t>lts/termo</t>
  </si>
  <si>
    <t>COSTO BOTELLON DE AGUA:</t>
  </si>
  <si>
    <t>lts/botellon</t>
  </si>
  <si>
    <t>COSTO BOLSA DE HIELO</t>
  </si>
  <si>
    <t>CAPACIDA:</t>
  </si>
  <si>
    <t>Lts/bolsa</t>
  </si>
  <si>
    <t>COSTO CAJA DE PAQUETES DE VASOS</t>
  </si>
  <si>
    <t>Bs/paquete</t>
  </si>
  <si>
    <t>cm3/und</t>
  </si>
  <si>
    <t>CANTIDAD POR PAQUETE</t>
  </si>
  <si>
    <t>und</t>
  </si>
  <si>
    <t>&lt;= ESTOS TRES VALORES SE INTRODUCEN A MANO</t>
  </si>
  <si>
    <t>COMPOSICION POR LITRO</t>
  </si>
  <si>
    <t>LITROS DE HIELO POR LITRO:</t>
  </si>
  <si>
    <t>lts</t>
  </si>
  <si>
    <t>Lts</t>
  </si>
  <si>
    <t>LITROS DE AGUA POR LITRO:</t>
  </si>
  <si>
    <t>LITROS DE AGUA POR PERSONA POR DIA</t>
  </si>
  <si>
    <t>REQUERIMIENTO:</t>
  </si>
  <si>
    <t>Lts/DIA</t>
  </si>
  <si>
    <t>&lt;= ESTE VALOR (LITROS X PERSONA)SE INTRODUCE A MANO</t>
  </si>
  <si>
    <t>TOTAL DE LITROS</t>
  </si>
  <si>
    <t>Lts x DURACION OBRA</t>
  </si>
  <si>
    <t>NUMERO DE RECIPIENTES:</t>
  </si>
  <si>
    <t>COSTO RESERVORIO:</t>
  </si>
  <si>
    <t>COSTO DEL AGUA:</t>
  </si>
  <si>
    <t>Bs/Lts</t>
  </si>
  <si>
    <t>Bs/Dia</t>
  </si>
  <si>
    <t>COSTO TOTAL DEL RESERVORIO</t>
  </si>
  <si>
    <t>COSTO DEL HIELO:</t>
  </si>
  <si>
    <t>VASOS POR LITRO</t>
  </si>
  <si>
    <t>Und</t>
  </si>
  <si>
    <t>COSTO TOTAL DEL AGUA</t>
  </si>
  <si>
    <t>TOTAL VASOS</t>
  </si>
  <si>
    <t>VASOS x DURACION OBRA</t>
  </si>
  <si>
    <t>Bs/VASO</t>
  </si>
  <si>
    <t>COSTO TOTAL DEL HIELO</t>
  </si>
  <si>
    <t>COSTO TOTAL DE LOS VASOS</t>
  </si>
  <si>
    <t>CLAUSULA 58 SUMINISTRO DE BOTAS Y TRAJES DE TRABAJO</t>
  </si>
  <si>
    <t>TOTAL OPERADORES DE MAQUINARIA:</t>
  </si>
  <si>
    <t>NUMERO DE TRAJES OPERADORES M:</t>
  </si>
  <si>
    <t>BOTAS</t>
  </si>
  <si>
    <t>TRAJES</t>
  </si>
  <si>
    <t>COSTO DE LOS TRAJES</t>
  </si>
  <si>
    <t>COSTO TOTAL:</t>
  </si>
  <si>
    <t>Bs/PROYECTO</t>
  </si>
  <si>
    <t>COSTE DE LAS BOTAS</t>
  </si>
  <si>
    <t>CLAUSULA 59 SUMINISTRO UNIFORMES VIGILANTES</t>
  </si>
  <si>
    <t>TOTAL VIGILANTES:</t>
  </si>
  <si>
    <t>NUMERO DE TRAJES</t>
  </si>
  <si>
    <t xml:space="preserve">NUMERO DE ZAPATOS </t>
  </si>
  <si>
    <t>CLAUSULA 68 COMITÉ DE EMPRESA</t>
  </si>
  <si>
    <t>TOTAL DIAS</t>
  </si>
  <si>
    <t>Dias/Semana</t>
  </si>
  <si>
    <t>CLAUSULA 70 PERMISOS SINDICALES</t>
  </si>
  <si>
    <t>DIAS/SEMANA</t>
  </si>
  <si>
    <t>PARTE A</t>
  </si>
  <si>
    <t>&lt;= ESTOS VALORES (DIAS/SEMANA Y PERSONAS) SE INTRODUCEN A MANO</t>
  </si>
  <si>
    <t>PARTE C</t>
  </si>
  <si>
    <t>PARTE D</t>
  </si>
  <si>
    <t>CALCULO DE LAS ROTACIONES SEGÚN DURACION DEL PROYECTO</t>
  </si>
  <si>
    <t>DISTRIBUCION DE PERSONAL SEGÚN LAS ANTIGÜEDAD</t>
  </si>
  <si>
    <t>DISTRIB.</t>
  </si>
  <si>
    <t>X ANTIGUED.</t>
  </si>
  <si>
    <t>TOTALES:</t>
  </si>
  <si>
    <t>CALCULO DE LAS ANTIGUEDADES</t>
  </si>
  <si>
    <t>TABLA DE ANTIGUEDADES</t>
  </si>
  <si>
    <t>FERIADO NACIONAL</t>
  </si>
  <si>
    <t>SEMANA</t>
  </si>
  <si>
    <t>VALIDACION</t>
  </si>
  <si>
    <t>AÑO NUEVO</t>
  </si>
  <si>
    <t>JUEVES SANTO</t>
  </si>
  <si>
    <t>VIERNES SANTO</t>
  </si>
  <si>
    <t>DECLAR. INDEPENDENCIA</t>
  </si>
  <si>
    <t>DIA TRABAJADOR D.L.C.</t>
  </si>
  <si>
    <t>DIA DEL TRABAJADOR</t>
  </si>
  <si>
    <t>BATALLA CARABOBO</t>
  </si>
  <si>
    <t>DIA DE LA INDEPENDENCIA</t>
  </si>
  <si>
    <t>NATALICIO DEL LIBERTADOR</t>
  </si>
  <si>
    <t>DIA DE LA HISPANIDAD</t>
  </si>
  <si>
    <t>NAVIDAD</t>
  </si>
  <si>
    <t>CARNAVAL</t>
  </si>
  <si>
    <t>LUNES DE SEMANA SANTA</t>
  </si>
  <si>
    <t>MARTES DE SEMANA SANTA</t>
  </si>
  <si>
    <t>MIERCOLES DE SEMANA SANTA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</si>
  <si>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</si>
  <si>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</si>
  <si>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</si>
  <si>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</si>
  <si>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</si>
  <si>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</si>
  <si>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</si>
  <si>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</si>
  <si>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</si>
  <si>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</si>
  <si>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</si>
  <si>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</si>
  <si>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</si>
  <si>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</si>
  <si>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</si>
  <si>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</si>
  <si>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</si>
  <si>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</si>
  <si>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</si>
  <si>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</si>
  <si>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</si>
  <si>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AÑO 2007</t>
  </si>
  <si>
    <t>ENERO 2007</t>
  </si>
  <si>
    <t>FEBRERO 2007</t>
  </si>
  <si>
    <t>MARZO 2007</t>
  </si>
  <si>
    <t>SEM</t>
  </si>
  <si>
    <t>T. DIAS/MES</t>
  </si>
  <si>
    <t>ABRIL 2007</t>
  </si>
  <si>
    <t>MAYO 2007</t>
  </si>
  <si>
    <t>JUNIO 2007</t>
  </si>
  <si>
    <t>JULIO 2007</t>
  </si>
  <si>
    <t>AGOSTO 2007</t>
  </si>
  <si>
    <t>SEPTIEMBRE 2007</t>
  </si>
  <si>
    <t>OCTUBRE 2007</t>
  </si>
  <si>
    <t>NOVIEMBRE 2007</t>
  </si>
  <si>
    <t>DICIEMBRE 2007</t>
  </si>
  <si>
    <t>TOTAL DIAS DOMINGOS:</t>
  </si>
  <si>
    <t>TOTAL DIAS SABADOS:</t>
  </si>
  <si>
    <t>TOTAL DIAS AÑO:</t>
  </si>
  <si>
    <t/>
  </si>
  <si>
    <t>NÚMERO DE SEMANAS:</t>
  </si>
  <si>
    <t>AÑO 2008 (AÑO BISIESTO)</t>
  </si>
  <si>
    <t>ENERO 2008</t>
  </si>
  <si>
    <t>FEBRERO 2008</t>
  </si>
  <si>
    <t>MARZO 2008</t>
  </si>
  <si>
    <t>ABRIL 2008</t>
  </si>
  <si>
    <t>MAYO 2008</t>
  </si>
  <si>
    <t>JUNIO 2008</t>
  </si>
  <si>
    <t>JULIO 2008</t>
  </si>
  <si>
    <t>AGOSTO 2008</t>
  </si>
  <si>
    <t>SEPTIEMBRE 2008</t>
  </si>
  <si>
    <t>OCTUBRE 2008</t>
  </si>
  <si>
    <t>NOVIEMBRE 2008</t>
  </si>
  <si>
    <t>DICIEMBRE 2008</t>
  </si>
  <si>
    <t>AÑO 2008</t>
  </si>
  <si>
    <t>AÑO 2009</t>
  </si>
  <si>
    <t>ENERO 2009</t>
  </si>
  <si>
    <t>FEBRERO 2009</t>
  </si>
  <si>
    <t>MARZO 2009</t>
  </si>
  <si>
    <t>ABRIL 2009</t>
  </si>
  <si>
    <t>MAYO 2009</t>
  </si>
  <si>
    <t>JUNIO 2009</t>
  </si>
  <si>
    <t>JULIO 2009</t>
  </si>
  <si>
    <t>AGOSTO 2009</t>
  </si>
  <si>
    <t>SEPTIEMBRE 2009</t>
  </si>
  <si>
    <t>OCTUBRE 2009</t>
  </si>
  <si>
    <t>NOVIEMBRE 2009</t>
  </si>
  <si>
    <t>DICIEMBRE 2009</t>
  </si>
  <si>
    <t>AÑO 2010</t>
  </si>
  <si>
    <t>ENERO 2010</t>
  </si>
  <si>
    <t>FEBRERO 2010</t>
  </si>
  <si>
    <t>MARZO 2010</t>
  </si>
  <si>
    <t>ABRIL 2010</t>
  </si>
  <si>
    <t>MAYO 2010</t>
  </si>
  <si>
    <t>JUNIO 2010</t>
  </si>
  <si>
    <t>JULIO 2010</t>
  </si>
  <si>
    <t>AGOSTO 2010</t>
  </si>
  <si>
    <t>SEPTIEMBRE 2010</t>
  </si>
  <si>
    <t>OCTUBRE 2010</t>
  </si>
  <si>
    <t>NOVIEMBRE 2010</t>
  </si>
  <si>
    <t>DICIEMBRE 2010</t>
  </si>
  <si>
    <t>AÑO 2011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</si>
  <si>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</si>
  <si>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</si>
  <si>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</si>
  <si>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</si>
  <si>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</si>
  <si>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</si>
  <si>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</si>
  <si>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</si>
  <si>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</si>
  <si>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</si>
  <si>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</si>
  <si>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</si>
  <si>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AÑO 2012 (BISIESTO)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</si>
  <si>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</si>
  <si>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</si>
  <si>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</si>
  <si>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</si>
  <si>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</si>
  <si>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</si>
  <si>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</si>
  <si>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</si>
  <si>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</si>
  <si>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</si>
  <si>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</si>
  <si>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</si>
  <si>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AÑO 2012</t>
  </si>
  <si>
    <t>AÑO 2013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</si>
  <si>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</si>
  <si>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</si>
  <si>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</si>
  <si>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</si>
  <si>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</si>
  <si>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</si>
  <si>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</si>
  <si>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</si>
  <si>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</si>
  <si>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</si>
  <si>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</si>
  <si>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</si>
  <si>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AÑO 2014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</si>
  <si>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</si>
  <si>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</si>
  <si>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</si>
  <si>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</si>
  <si>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</si>
  <si>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</si>
  <si>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</si>
  <si>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</si>
  <si>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</si>
  <si>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</si>
  <si>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</si>
  <si>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</si>
  <si>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AÑO 2015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</si>
  <si>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</si>
  <si>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</si>
  <si>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</si>
  <si>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</si>
  <si>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</si>
  <si>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</si>
  <si>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</si>
  <si>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</si>
  <si>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</si>
  <si>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</si>
  <si>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</si>
  <si>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</si>
  <si>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AÑO 2016 (BISIESTO)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</si>
  <si>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</si>
  <si>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</si>
  <si>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</si>
  <si>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</si>
  <si>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</si>
  <si>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</si>
  <si>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</si>
  <si>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</si>
  <si>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</si>
  <si>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</si>
  <si>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</si>
  <si>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</si>
  <si>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AÑO 2016</t>
  </si>
  <si>
    <t>AÑO 2017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</si>
  <si>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</si>
  <si>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</si>
  <si>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</si>
  <si>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</si>
  <si>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</si>
  <si>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</si>
  <si>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</si>
  <si>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</si>
  <si>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</si>
  <si>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</si>
  <si>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</si>
  <si>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</si>
  <si>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AÑO 2018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</si>
  <si>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</si>
  <si>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</si>
  <si>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</si>
  <si>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</si>
  <si>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</si>
  <si>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</si>
  <si>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</si>
  <si>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</si>
  <si>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</si>
  <si>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</si>
  <si>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</si>
  <si>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</si>
  <si>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AÑO 2019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</si>
  <si>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</si>
  <si>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</si>
  <si>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</si>
  <si>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</si>
  <si>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</si>
  <si>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</si>
  <si>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</si>
  <si>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</si>
  <si>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</si>
  <si>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</si>
  <si>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</si>
  <si>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</si>
  <si>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AÑO 2020 (BISIESTO)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</si>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</sst>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dd/mm/yyyy;@"/>
    <numFmt numFmtId="165" formatCode="0.0"/>
    <numFmt numFmtId="166" formatCode="#,##0.000"/>
    <numFmt numFmtId="167" formatCode="#,##0.0000"/>
    <numFmt numFmtId="168" formatCode="0.0000"/>
    <numFmt numFmtId="169" formatCode="0.00000"/>
    <numFmt numFmtId="170" formatCode="0.0000000"/>
    <numFmt numFmtId="171" formatCode="#,##0.000000"/>
    <numFmt numFmtId="172" formatCode="#,##0.00000"/>
    <numFmt numFmtId="173" formatCode="##0.00&quot; dias&quot;"/>
    <numFmt numFmtId="174" formatCode="##0.00&quot; Bs&quot;"/>
    <numFmt numFmtId="175" formatCode="##0.0000&quot; dias&quot;"/>
  </numFmts>
  <fonts count="70" x14ac:knownFonts="1">
    <font>
      <sz val="8"/>
      <name val="Arial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Tahoma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14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8"/>
      <color indexed="17"/>
      <name val="Arial"/>
      <family val="2"/>
    </font>
    <font>
      <sz val="8"/>
      <color indexed="62"/>
      <name val="Arial"/>
      <family val="2"/>
    </font>
    <font>
      <b/>
      <sz val="8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53"/>
      <name val="Arial"/>
      <family val="2"/>
    </font>
    <font>
      <b/>
      <sz val="8"/>
      <color indexed="17"/>
      <name val="Arial"/>
      <family val="2"/>
    </font>
    <font>
      <b/>
      <sz val="6"/>
      <color indexed="10"/>
      <name val="Arial"/>
      <family val="2"/>
    </font>
    <font>
      <sz val="8"/>
      <color indexed="21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trike/>
      <sz val="8"/>
      <name val="Arial"/>
      <family val="2"/>
    </font>
    <font>
      <sz val="9"/>
      <name val="Arial"/>
      <family val="2"/>
    </font>
    <font>
      <b/>
      <sz val="8"/>
      <color indexed="48"/>
      <name val="Arial"/>
      <family val="2"/>
    </font>
    <font>
      <b/>
      <sz val="8"/>
      <color indexed="21"/>
      <name val="Arial"/>
      <family val="2"/>
    </font>
    <font>
      <sz val="8"/>
      <name val="Arial Narrow"/>
      <family val="2"/>
    </font>
    <font>
      <b/>
      <sz val="10"/>
      <color indexed="8"/>
      <name val="Arial Black"/>
      <family val="2"/>
    </font>
    <font>
      <sz val="10"/>
      <name val="Arial Black"/>
      <family val="2"/>
    </font>
    <font>
      <b/>
      <sz val="11"/>
      <color indexed="9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56"/>
      <name val="Arial"/>
      <family val="2"/>
    </font>
    <font>
      <sz val="8"/>
      <color indexed="14"/>
      <name val="Arial"/>
      <family val="2"/>
    </font>
    <font>
      <sz val="8"/>
      <color indexed="60"/>
      <name val="Arial"/>
      <family val="2"/>
    </font>
    <font>
      <sz val="8"/>
      <color indexed="6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30"/>
      <name val="Arial"/>
      <family val="2"/>
    </font>
    <font>
      <b/>
      <sz val="8"/>
      <color indexed="12"/>
      <name val="Arial"/>
      <family val="2"/>
    </font>
    <font>
      <sz val="8"/>
      <color indexed="23"/>
      <name val="Arial"/>
      <family val="2"/>
    </font>
    <font>
      <sz val="8"/>
      <color indexed="17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C00000"/>
      <name val="Arial"/>
      <family val="2"/>
    </font>
    <font>
      <sz val="8"/>
      <color theme="3" tint="-0.249977111117893"/>
      <name val="Arial"/>
      <family val="2"/>
    </font>
    <font>
      <sz val="8"/>
      <color theme="3" tint="0.39997558519241921"/>
      <name val="Arial"/>
      <family val="2"/>
    </font>
  </fonts>
  <fills count="68">
    <fill>
      <patternFill patternType="none"/>
    </fill>
    <fill>
      <patternFill patternType="gray125"/>
    </fill>
    <fill>
      <patternFill patternType="mediumGray">
        <fgColor indexed="44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22"/>
      </patternFill>
    </fill>
    <fill>
      <patternFill patternType="solid">
        <fgColor indexed="65"/>
        <bgColor indexed="8"/>
      </patternFill>
    </fill>
    <fill>
      <patternFill patternType="mediumGray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indexed="18"/>
        <bgColor indexed="64"/>
      </patternFill>
    </fill>
    <fill>
      <patternFill patternType="mediumGray">
        <fgColor indexed="9"/>
        <bgColor indexed="47"/>
      </patternFill>
    </fill>
    <fill>
      <patternFill patternType="solid">
        <fgColor indexed="23"/>
        <bgColor indexed="64"/>
      </patternFill>
    </fill>
    <fill>
      <patternFill patternType="mediumGray">
        <fgColor indexed="9"/>
        <bgColor indexed="44"/>
      </patternFill>
    </fill>
    <fill>
      <patternFill patternType="solid">
        <fgColor indexed="18"/>
        <bgColor indexed="9"/>
      </patternFill>
    </fill>
    <fill>
      <patternFill patternType="mediumGray">
        <fgColor indexed="9"/>
      </patternFill>
    </fill>
    <fill>
      <patternFill patternType="mediumGray">
        <fgColor indexed="9"/>
        <bgColor indexed="42"/>
      </patternFill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18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18"/>
      </patternFill>
    </fill>
    <fill>
      <patternFill patternType="solid">
        <fgColor indexed="62"/>
        <bgColor indexed="18"/>
      </patternFill>
    </fill>
    <fill>
      <patternFill patternType="solid">
        <fgColor indexed="8"/>
        <bgColor indexed="18"/>
      </patternFill>
    </fill>
    <fill>
      <patternFill patternType="mediumGray">
        <fgColor indexed="22"/>
      </patternFill>
    </fill>
    <fill>
      <patternFill patternType="mediumGray">
        <fgColor indexed="9"/>
        <bgColor indexed="43"/>
      </patternFill>
    </fill>
    <fill>
      <patternFill patternType="solid">
        <fgColor indexed="42"/>
        <bgColor indexed="64"/>
      </patternFill>
    </fill>
    <fill>
      <patternFill patternType="mediumGray">
        <fgColor indexed="9"/>
        <bgColor indexed="41"/>
      </patternFill>
    </fill>
    <fill>
      <patternFill patternType="solid">
        <fgColor indexed="15"/>
        <bgColor indexed="64"/>
      </patternFill>
    </fill>
    <fill>
      <patternFill patternType="mediumGray">
        <fgColor indexed="40"/>
      </patternFill>
    </fill>
    <fill>
      <patternFill patternType="mediumGray">
        <fgColor indexed="13"/>
        <bgColor indexed="9"/>
      </patternFill>
    </fill>
    <fill>
      <patternFill patternType="mediumGray">
        <fgColor indexed="13"/>
      </patternFill>
    </fill>
    <fill>
      <patternFill patternType="mediumGray">
        <fgColor indexed="9"/>
        <bgColor indexed="52"/>
      </patternFill>
    </fill>
    <fill>
      <patternFill patternType="mediumGray">
        <fgColor indexed="45"/>
      </patternFill>
    </fill>
    <fill>
      <patternFill patternType="mediumGray">
        <fgColor indexed="43"/>
      </patternFill>
    </fill>
    <fill>
      <patternFill patternType="mediumGray">
        <fgColor indexed="41"/>
      </patternFill>
    </fill>
    <fill>
      <patternFill patternType="mediumGray">
        <fgColor indexed="46"/>
      </patternFill>
    </fill>
    <fill>
      <patternFill patternType="mediumGray">
        <fgColor indexed="47"/>
      </patternFill>
    </fill>
    <fill>
      <patternFill patternType="mediumGray">
        <fgColor indexed="15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mediumGray">
        <fgColor indexed="9"/>
        <bgColor indexed="11"/>
      </patternFill>
    </fill>
    <fill>
      <patternFill patternType="mediumGray">
        <fgColor indexed="15"/>
        <bgColor indexed="55"/>
      </patternFill>
    </fill>
    <fill>
      <patternFill patternType="mediumGray">
        <fgColor indexed="9"/>
        <bgColor indexed="55"/>
      </patternFill>
    </fill>
    <fill>
      <patternFill patternType="solid">
        <fgColor indexed="55"/>
        <bgColor indexed="64"/>
      </patternFill>
    </fill>
    <fill>
      <patternFill patternType="mediumGray">
        <fgColor indexed="45"/>
        <bgColor indexed="55"/>
      </patternFill>
    </fill>
    <fill>
      <patternFill patternType="mediumGray">
        <fgColor indexed="43"/>
        <bgColor indexed="55"/>
      </patternFill>
    </fill>
    <fill>
      <patternFill patternType="mediumGray">
        <fgColor indexed="9"/>
        <bgColor indexed="45"/>
      </patternFill>
    </fill>
    <fill>
      <patternFill patternType="lightGray">
        <fgColor indexed="22"/>
      </patternFill>
    </fill>
    <fill>
      <patternFill patternType="mediumGray">
        <fgColor indexed="44"/>
      </patternFill>
    </fill>
    <fill>
      <patternFill patternType="solid">
        <fgColor indexed="23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9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mediumGray">
        <f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fgColor indexed="44"/>
        <bgColor theme="4" tint="0.59999389629810485"/>
      </patternFill>
    </fill>
    <fill>
      <patternFill patternType="gray125"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lightGray">
        <fgColor indexed="22"/>
        <bgColor theme="0" tint="-4.9989318521683403E-2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9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9"/>
      </left>
      <right/>
      <top/>
      <bottom style="thin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1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8">
    <xf numFmtId="0" fontId="0" fillId="0" borderId="0"/>
    <xf numFmtId="0" fontId="6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</cellStyleXfs>
  <cellXfs count="769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164" fontId="4" fillId="3" borderId="0" xfId="0" applyNumberFormat="1" applyFont="1" applyFill="1" applyBorder="1" applyAlignment="1" applyProtection="1">
      <alignment horizontal="right"/>
    </xf>
    <xf numFmtId="14" fontId="3" fillId="4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distributed"/>
    </xf>
    <xf numFmtId="0" fontId="1" fillId="0" borderId="0" xfId="0" applyFont="1" applyBorder="1" applyAlignment="1">
      <alignment horizontal="left" vertical="distributed"/>
    </xf>
    <xf numFmtId="0" fontId="1" fillId="0" borderId="0" xfId="0" applyFont="1" applyAlignment="1" applyProtection="1">
      <alignment horizontal="right"/>
    </xf>
    <xf numFmtId="18" fontId="3" fillId="5" borderId="2" xfId="0" applyNumberFormat="1" applyFont="1" applyFill="1" applyBorder="1" applyAlignment="1" applyProtection="1">
      <alignment horizontal="center"/>
    </xf>
    <xf numFmtId="18" fontId="3" fillId="6" borderId="0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/>
    <xf numFmtId="0" fontId="8" fillId="7" borderId="0" xfId="0" applyFont="1" applyFill="1"/>
    <xf numFmtId="0" fontId="11" fillId="8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13" fillId="8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0" fontId="6" fillId="9" borderId="2" xfId="0" applyNumberFormat="1" applyFont="1" applyFill="1" applyBorder="1" applyAlignment="1">
      <alignment horizontal="center"/>
    </xf>
    <xf numFmtId="10" fontId="0" fillId="0" borderId="0" xfId="0" applyNumberFormat="1"/>
    <xf numFmtId="0" fontId="15" fillId="10" borderId="0" xfId="106" applyFont="1" applyFill="1" applyProtection="1"/>
    <xf numFmtId="164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1" fillId="8" borderId="0" xfId="0" applyFont="1" applyFill="1" applyBorder="1" applyAlignment="1">
      <alignment horizontal="center"/>
    </xf>
    <xf numFmtId="0" fontId="10" fillId="8" borderId="0" xfId="0" applyFont="1" applyFill="1"/>
    <xf numFmtId="0" fontId="13" fillId="8" borderId="0" xfId="0" applyFont="1" applyFill="1"/>
    <xf numFmtId="0" fontId="13" fillId="8" borderId="0" xfId="0" applyFont="1" applyFill="1" applyAlignment="1">
      <alignment horizontal="center"/>
    </xf>
    <xf numFmtId="0" fontId="11" fillId="8" borderId="0" xfId="107" applyFont="1" applyFill="1" applyBorder="1" applyAlignment="1">
      <alignment horizontal="center"/>
    </xf>
    <xf numFmtId="0" fontId="11" fillId="8" borderId="0" xfId="107" applyFont="1" applyFill="1" applyBorder="1"/>
    <xf numFmtId="2" fontId="13" fillId="8" borderId="0" xfId="107" applyNumberFormat="1" applyFont="1" applyFill="1" applyBorder="1" applyAlignment="1">
      <alignment horizontal="center"/>
    </xf>
    <xf numFmtId="0" fontId="13" fillId="8" borderId="0" xfId="107" applyFont="1" applyFill="1" applyBorder="1" applyAlignment="1">
      <alignment horizontal="center"/>
    </xf>
    <xf numFmtId="14" fontId="1" fillId="0" borderId="5" xfId="107" applyNumberFormat="1" applyFont="1" applyBorder="1" applyAlignment="1">
      <alignment horizontal="center"/>
    </xf>
    <xf numFmtId="1" fontId="1" fillId="0" borderId="5" xfId="107" applyNumberFormat="1" applyFont="1" applyBorder="1" applyAlignment="1">
      <alignment horizontal="center"/>
    </xf>
    <xf numFmtId="0" fontId="1" fillId="0" borderId="2" xfId="107" applyFont="1" applyBorder="1" applyAlignment="1">
      <alignment horizontal="center"/>
    </xf>
    <xf numFmtId="164" fontId="1" fillId="0" borderId="2" xfId="107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4" fontId="1" fillId="0" borderId="2" xfId="107" applyNumberFormat="1" applyFont="1" applyBorder="1" applyAlignment="1">
      <alignment horizontal="center"/>
    </xf>
    <xf numFmtId="1" fontId="1" fillId="0" borderId="2" xfId="107" applyNumberFormat="1" applyFont="1" applyBorder="1" applyAlignment="1">
      <alignment horizontal="center"/>
    </xf>
    <xf numFmtId="0" fontId="14" fillId="0" borderId="0" xfId="107" applyBorder="1"/>
    <xf numFmtId="0" fontId="14" fillId="0" borderId="0" xfId="107"/>
    <xf numFmtId="3" fontId="1" fillId="0" borderId="0" xfId="107" applyNumberFormat="1" applyFont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2" fontId="0" fillId="0" borderId="0" xfId="0" applyNumberFormat="1"/>
    <xf numFmtId="4" fontId="0" fillId="0" borderId="2" xfId="0" applyNumberFormat="1" applyBorder="1" applyAlignment="1">
      <alignment horizontal="center"/>
    </xf>
    <xf numFmtId="4" fontId="0" fillId="0" borderId="0" xfId="0" applyNumberFormat="1"/>
    <xf numFmtId="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3" fillId="11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/>
    </xf>
    <xf numFmtId="0" fontId="0" fillId="11" borderId="7" xfId="0" applyFill="1" applyBorder="1"/>
    <xf numFmtId="0" fontId="11" fillId="11" borderId="8" xfId="0" applyFont="1" applyFill="1" applyBorder="1" applyAlignment="1"/>
    <xf numFmtId="0" fontId="0" fillId="13" borderId="9" xfId="0" applyFill="1" applyBorder="1"/>
    <xf numFmtId="0" fontId="11" fillId="11" borderId="10" xfId="0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/>
    </xf>
    <xf numFmtId="164" fontId="7" fillId="10" borderId="5" xfId="0" applyNumberFormat="1" applyFont="1" applyFill="1" applyBorder="1" applyAlignment="1">
      <alignment horizontal="center"/>
    </xf>
    <xf numFmtId="0" fontId="20" fillId="0" borderId="5" xfId="0" applyFont="1" applyBorder="1"/>
    <xf numFmtId="0" fontId="21" fillId="3" borderId="5" xfId="0" applyFont="1" applyFill="1" applyBorder="1" applyAlignment="1">
      <alignment horizontal="center"/>
    </xf>
    <xf numFmtId="165" fontId="5" fillId="14" borderId="5" xfId="0" applyNumberFormat="1" applyFont="1" applyFill="1" applyBorder="1" applyAlignment="1">
      <alignment horizontal="center"/>
    </xf>
    <xf numFmtId="164" fontId="7" fillId="10" borderId="2" xfId="0" applyNumberFormat="1" applyFont="1" applyFill="1" applyBorder="1" applyAlignment="1">
      <alignment horizontal="center"/>
    </xf>
    <xf numFmtId="0" fontId="20" fillId="0" borderId="2" xfId="0" applyFont="1" applyBorder="1"/>
    <xf numFmtId="164" fontId="7" fillId="10" borderId="0" xfId="0" applyNumberFormat="1" applyFont="1" applyFill="1" applyBorder="1" applyAlignment="1">
      <alignment horizontal="center"/>
    </xf>
    <xf numFmtId="0" fontId="20" fillId="0" borderId="0" xfId="0" applyFont="1" applyBorder="1"/>
    <xf numFmtId="165" fontId="8" fillId="0" borderId="2" xfId="0" applyNumberFormat="1" applyFont="1" applyBorder="1" applyAlignment="1">
      <alignment horizontal="center"/>
    </xf>
    <xf numFmtId="0" fontId="11" fillId="11" borderId="12" xfId="0" applyFont="1" applyFill="1" applyBorder="1" applyAlignment="1"/>
    <xf numFmtId="0" fontId="11" fillId="11" borderId="13" xfId="0" applyFont="1" applyFill="1" applyBorder="1" applyAlignment="1">
      <alignment horizontal="center"/>
    </xf>
    <xf numFmtId="10" fontId="6" fillId="9" borderId="14" xfId="0" applyNumberFormat="1" applyFont="1" applyFill="1" applyBorder="1" applyAlignment="1">
      <alignment horizontal="center"/>
    </xf>
    <xf numFmtId="0" fontId="0" fillId="0" borderId="0" xfId="0" applyBorder="1"/>
    <xf numFmtId="0" fontId="24" fillId="15" borderId="0" xfId="0" applyFont="1" applyFill="1"/>
    <xf numFmtId="0" fontId="25" fillId="15" borderId="0" xfId="0" applyFont="1" applyFill="1"/>
    <xf numFmtId="17" fontId="26" fillId="0" borderId="0" xfId="0" quotePrefix="1" applyNumberFormat="1" applyFont="1" applyAlignment="1"/>
    <xf numFmtId="0" fontId="1" fillId="0" borderId="0" xfId="0" applyFont="1" applyAlignment="1"/>
    <xf numFmtId="0" fontId="1" fillId="3" borderId="0" xfId="0" applyFont="1" applyFill="1" applyBorder="1" applyAlignment="1"/>
    <xf numFmtId="0" fontId="1" fillId="3" borderId="0" xfId="0" applyFont="1" applyFill="1" applyBorder="1"/>
    <xf numFmtId="0" fontId="3" fillId="16" borderId="2" xfId="0" applyFont="1" applyFill="1" applyBorder="1" applyAlignment="1">
      <alignment horizontal="center"/>
    </xf>
    <xf numFmtId="0" fontId="3" fillId="17" borderId="2" xfId="0" applyFont="1" applyFill="1" applyBorder="1" applyAlignment="1">
      <alignment horizontal="center"/>
    </xf>
    <xf numFmtId="0" fontId="27" fillId="9" borderId="2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right"/>
    </xf>
    <xf numFmtId="1" fontId="13" fillId="9" borderId="6" xfId="0" applyNumberFormat="1" applyFont="1" applyFill="1" applyBorder="1" applyAlignment="1">
      <alignment horizontal="center"/>
    </xf>
    <xf numFmtId="0" fontId="1" fillId="4" borderId="0" xfId="0" applyFont="1" applyFill="1"/>
    <xf numFmtId="0" fontId="3" fillId="10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12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13" fillId="15" borderId="15" xfId="0" applyFont="1" applyFill="1" applyBorder="1" applyAlignment="1">
      <alignment horizontal="right"/>
    </xf>
    <xf numFmtId="1" fontId="13" fillId="18" borderId="6" xfId="0" applyNumberFormat="1" applyFont="1" applyFill="1" applyBorder="1" applyAlignment="1">
      <alignment horizontal="center"/>
    </xf>
    <xf numFmtId="0" fontId="13" fillId="18" borderId="6" xfId="0" applyFont="1" applyFill="1" applyBorder="1" applyAlignment="1">
      <alignment horizontal="center"/>
    </xf>
    <xf numFmtId="0" fontId="13" fillId="19" borderId="6" xfId="0" applyFont="1" applyFill="1" applyBorder="1" applyAlignment="1">
      <alignment horizontal="center"/>
    </xf>
    <xf numFmtId="0" fontId="28" fillId="4" borderId="0" xfId="0" applyFont="1" applyFill="1"/>
    <xf numFmtId="1" fontId="1" fillId="9" borderId="0" xfId="0" applyNumberFormat="1" applyFont="1" applyFill="1"/>
    <xf numFmtId="0" fontId="1" fillId="9" borderId="0" xfId="0" applyFont="1" applyFill="1"/>
    <xf numFmtId="0" fontId="2" fillId="20" borderId="2" xfId="0" applyFont="1" applyFill="1" applyBorder="1" applyAlignment="1">
      <alignment horizontal="center"/>
    </xf>
    <xf numFmtId="0" fontId="28" fillId="0" borderId="0" xfId="0" applyFont="1"/>
    <xf numFmtId="0" fontId="1" fillId="3" borderId="0" xfId="0" applyFont="1" applyFill="1"/>
    <xf numFmtId="0" fontId="1" fillId="16" borderId="2" xfId="0" applyFont="1" applyFill="1" applyBorder="1" applyAlignment="1"/>
    <xf numFmtId="0" fontId="1" fillId="17" borderId="2" xfId="0" applyFont="1" applyFill="1" applyBorder="1" applyAlignment="1"/>
    <xf numFmtId="1" fontId="1" fillId="4" borderId="0" xfId="0" applyNumberFormat="1" applyFont="1" applyFill="1" applyAlignment="1">
      <alignment horizontal="center"/>
    </xf>
    <xf numFmtId="0" fontId="29" fillId="0" borderId="2" xfId="0" applyFont="1" applyBorder="1"/>
    <xf numFmtId="0" fontId="29" fillId="3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1" fontId="1" fillId="0" borderId="0" xfId="0" applyNumberFormat="1" applyFont="1"/>
    <xf numFmtId="0" fontId="27" fillId="3" borderId="2" xfId="0" applyFont="1" applyFill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0" fontId="3" fillId="2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3" fillId="19" borderId="6" xfId="0" applyNumberFormat="1" applyFont="1" applyFill="1" applyBorder="1" applyAlignment="1">
      <alignment horizontal="center"/>
    </xf>
    <xf numFmtId="1" fontId="1" fillId="3" borderId="0" xfId="0" applyNumberFormat="1" applyFont="1" applyFill="1"/>
    <xf numFmtId="0" fontId="3" fillId="10" borderId="0" xfId="0" applyFont="1" applyFill="1" applyAlignment="1">
      <alignment horizontal="center"/>
    </xf>
    <xf numFmtId="0" fontId="1" fillId="0" borderId="2" xfId="0" applyFont="1" applyBorder="1" applyAlignment="1"/>
    <xf numFmtId="0" fontId="3" fillId="3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27" fillId="0" borderId="0" xfId="0" applyFont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5" fillId="0" borderId="0" xfId="0" applyFont="1"/>
    <xf numFmtId="0" fontId="0" fillId="3" borderId="0" xfId="0" applyFill="1"/>
    <xf numFmtId="0" fontId="0" fillId="3" borderId="0" xfId="0" applyFill="1" applyBorder="1"/>
    <xf numFmtId="0" fontId="30" fillId="3" borderId="0" xfId="0" applyFont="1" applyFill="1" applyBorder="1" applyAlignment="1">
      <alignment horizontal="right"/>
    </xf>
    <xf numFmtId="1" fontId="13" fillId="21" borderId="6" xfId="0" applyNumberFormat="1" applyFont="1" applyFill="1" applyBorder="1" applyAlignment="1">
      <alignment horizontal="center"/>
    </xf>
    <xf numFmtId="0" fontId="1" fillId="22" borderId="0" xfId="0" applyFont="1" applyFill="1"/>
    <xf numFmtId="0" fontId="0" fillId="22" borderId="0" xfId="0" applyFill="1"/>
    <xf numFmtId="0" fontId="31" fillId="22" borderId="0" xfId="0" applyFont="1" applyFill="1" applyAlignment="1">
      <alignment horizontal="right"/>
    </xf>
    <xf numFmtId="0" fontId="30" fillId="0" borderId="0" xfId="0" applyFont="1" applyBorder="1" applyAlignment="1">
      <alignment horizontal="right"/>
    </xf>
    <xf numFmtId="1" fontId="13" fillId="23" borderId="6" xfId="0" applyNumberFormat="1" applyFont="1" applyFill="1" applyBorder="1" applyAlignment="1">
      <alignment horizontal="center"/>
    </xf>
    <xf numFmtId="1" fontId="13" fillId="24" borderId="6" xfId="0" applyNumberFormat="1" applyFont="1" applyFill="1" applyBorder="1" applyAlignment="1">
      <alignment horizontal="center"/>
    </xf>
    <xf numFmtId="1" fontId="13" fillId="25" borderId="16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7" fillId="3" borderId="0" xfId="0" applyFont="1" applyFill="1" applyBorder="1" applyAlignment="1">
      <alignment horizontal="right"/>
    </xf>
    <xf numFmtId="0" fontId="13" fillId="24" borderId="6" xfId="0" applyFont="1" applyFill="1" applyBorder="1" applyAlignment="1">
      <alignment horizontal="center"/>
    </xf>
    <xf numFmtId="0" fontId="13" fillId="10" borderId="15" xfId="0" applyFont="1" applyFill="1" applyBorder="1" applyAlignment="1">
      <alignment horizontal="right"/>
    </xf>
    <xf numFmtId="1" fontId="13" fillId="10" borderId="6" xfId="0" applyNumberFormat="1" applyFont="1" applyFill="1" applyBorder="1" applyAlignment="1">
      <alignment horizontal="center"/>
    </xf>
    <xf numFmtId="165" fontId="13" fillId="3" borderId="6" xfId="0" applyNumberFormat="1" applyFont="1" applyFill="1" applyBorder="1" applyAlignment="1">
      <alignment horizontal="center"/>
    </xf>
    <xf numFmtId="0" fontId="30" fillId="0" borderId="0" xfId="0" applyFont="1" applyAlignment="1">
      <alignment horizontal="right"/>
    </xf>
    <xf numFmtId="1" fontId="13" fillId="25" borderId="6" xfId="0" applyNumberFormat="1" applyFont="1" applyFill="1" applyBorder="1" applyAlignment="1">
      <alignment horizontal="center"/>
    </xf>
    <xf numFmtId="0" fontId="27" fillId="3" borderId="0" xfId="0" applyFont="1" applyFill="1" applyBorder="1" applyAlignment="1">
      <alignment horizontal="left"/>
    </xf>
    <xf numFmtId="0" fontId="27" fillId="10" borderId="2" xfId="0" applyFont="1" applyFill="1" applyBorder="1" applyAlignment="1">
      <alignment horizontal="center"/>
    </xf>
    <xf numFmtId="0" fontId="5" fillId="22" borderId="0" xfId="0" applyFont="1" applyFill="1"/>
    <xf numFmtId="0" fontId="2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11" fillId="8" borderId="5" xfId="0" applyFont="1" applyFill="1" applyBorder="1" applyAlignment="1">
      <alignment horizontal="center"/>
    </xf>
    <xf numFmtId="0" fontId="0" fillId="11" borderId="9" xfId="0" applyFill="1" applyBorder="1"/>
    <xf numFmtId="0" fontId="11" fillId="11" borderId="5" xfId="0" applyFont="1" applyFill="1" applyBorder="1" applyAlignment="1">
      <alignment horizontal="center"/>
    </xf>
    <xf numFmtId="0" fontId="2" fillId="9" borderId="0" xfId="0" applyFont="1" applyFill="1" applyBorder="1"/>
    <xf numFmtId="0" fontId="3" fillId="9" borderId="0" xfId="0" applyFont="1" applyFill="1" applyBorder="1"/>
    <xf numFmtId="0" fontId="1" fillId="9" borderId="0" xfId="0" applyFont="1" applyFill="1" applyBorder="1"/>
    <xf numFmtId="0" fontId="9" fillId="9" borderId="0" xfId="0" applyFont="1" applyFill="1" applyBorder="1" applyAlignment="1">
      <alignment horizontal="right"/>
    </xf>
    <xf numFmtId="0" fontId="6" fillId="9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26" borderId="0" xfId="0" applyFill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4" fontId="0" fillId="0" borderId="0" xfId="0" applyNumberFormat="1" applyBorder="1"/>
    <xf numFmtId="0" fontId="1" fillId="0" borderId="0" xfId="0" applyFont="1" applyBorder="1"/>
    <xf numFmtId="0" fontId="5" fillId="14" borderId="1" xfId="0" applyFont="1" applyFill="1" applyBorder="1"/>
    <xf numFmtId="0" fontId="1" fillId="14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26" borderId="0" xfId="0" applyFont="1" applyFill="1"/>
    <xf numFmtId="0" fontId="11" fillId="11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3" borderId="0" xfId="0" applyFill="1" applyBorder="1" applyAlignment="1">
      <alignment horizontal="center"/>
    </xf>
    <xf numFmtId="4" fontId="5" fillId="22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27" borderId="0" xfId="0" applyFill="1"/>
    <xf numFmtId="0" fontId="35" fillId="27" borderId="0" xfId="0" applyFont="1" applyFill="1"/>
    <xf numFmtId="0" fontId="1" fillId="0" borderId="0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2" fillId="0" borderId="0" xfId="0" applyFont="1" applyAlignment="1">
      <alignment horizontal="center"/>
    </xf>
    <xf numFmtId="10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26" borderId="0" xfId="0" applyFill="1" applyAlignment="1">
      <alignment horizontal="right"/>
    </xf>
    <xf numFmtId="0" fontId="5" fillId="28" borderId="0" xfId="0" applyFont="1" applyFill="1"/>
    <xf numFmtId="0" fontId="0" fillId="28" borderId="0" xfId="0" applyFill="1"/>
    <xf numFmtId="4" fontId="9" fillId="3" borderId="2" xfId="0" applyNumberFormat="1" applyFont="1" applyFill="1" applyBorder="1"/>
    <xf numFmtId="171" fontId="7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36" fillId="3" borderId="2" xfId="0" applyFont="1" applyFill="1" applyBorder="1" applyAlignment="1">
      <alignment horizontal="center"/>
    </xf>
    <xf numFmtId="4" fontId="9" fillId="0" borderId="2" xfId="0" applyNumberFormat="1" applyFont="1" applyBorder="1"/>
    <xf numFmtId="4" fontId="9" fillId="0" borderId="0" xfId="0" applyNumberFormat="1" applyFont="1" applyBorder="1"/>
    <xf numFmtId="0" fontId="6" fillId="28" borderId="0" xfId="0" applyFont="1" applyFill="1"/>
    <xf numFmtId="0" fontId="6" fillId="28" borderId="0" xfId="0" applyFont="1" applyFill="1" applyAlignment="1">
      <alignment horizontal="right"/>
    </xf>
    <xf numFmtId="4" fontId="5" fillId="28" borderId="0" xfId="0" applyNumberFormat="1" applyFont="1" applyFill="1" applyBorder="1"/>
    <xf numFmtId="4" fontId="5" fillId="0" borderId="0" xfId="0" applyNumberFormat="1" applyFont="1" applyBorder="1"/>
    <xf numFmtId="3" fontId="5" fillId="0" borderId="2" xfId="0" applyNumberFormat="1" applyFont="1" applyBorder="1" applyAlignment="1">
      <alignment horizontal="center"/>
    </xf>
    <xf numFmtId="0" fontId="6" fillId="0" borderId="0" xfId="0" applyFont="1" applyFill="1" applyBorder="1"/>
    <xf numFmtId="0" fontId="37" fillId="0" borderId="0" xfId="0" applyFont="1"/>
    <xf numFmtId="4" fontId="9" fillId="0" borderId="2" xfId="0" applyNumberFormat="1" applyFont="1" applyBorder="1" applyAlignment="1">
      <alignment horizontal="center"/>
    </xf>
    <xf numFmtId="9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172" fontId="9" fillId="3" borderId="2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4" fontId="9" fillId="3" borderId="2" xfId="0" applyNumberFormat="1" applyFont="1" applyFill="1" applyBorder="1" applyAlignment="1">
      <alignment horizontal="center"/>
    </xf>
    <xf numFmtId="9" fontId="9" fillId="3" borderId="2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3" fontId="32" fillId="29" borderId="2" xfId="0" applyNumberFormat="1" applyFont="1" applyFill="1" applyBorder="1" applyAlignment="1" applyProtection="1">
      <alignment horizontal="center"/>
    </xf>
    <xf numFmtId="9" fontId="21" fillId="29" borderId="2" xfId="0" applyNumberFormat="1" applyFont="1" applyFill="1" applyBorder="1" applyAlignment="1" applyProtection="1">
      <alignment horizontal="center"/>
    </xf>
    <xf numFmtId="3" fontId="0" fillId="0" borderId="2" xfId="0" applyNumberFormat="1" applyBorder="1" applyAlignment="1">
      <alignment horizontal="center"/>
    </xf>
    <xf numFmtId="9" fontId="8" fillId="29" borderId="2" xfId="0" applyNumberFormat="1" applyFont="1" applyFill="1" applyBorder="1" applyAlignment="1" applyProtection="1">
      <alignment horizontal="center"/>
    </xf>
    <xf numFmtId="9" fontId="5" fillId="0" borderId="2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5" fillId="30" borderId="2" xfId="0" applyNumberFormat="1" applyFont="1" applyFill="1" applyBorder="1" applyAlignment="1">
      <alignment horizontal="center"/>
    </xf>
    <xf numFmtId="3" fontId="32" fillId="30" borderId="2" xfId="0" applyNumberFormat="1" applyFont="1" applyFill="1" applyBorder="1" applyAlignment="1">
      <alignment horizontal="center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4" fontId="5" fillId="30" borderId="2" xfId="0" applyNumberFormat="1" applyFont="1" applyFill="1" applyBorder="1"/>
    <xf numFmtId="4" fontId="32" fillId="30" borderId="2" xfId="0" applyNumberFormat="1" applyFont="1" applyFill="1" applyBorder="1" applyAlignment="1">
      <alignment horizontal="center"/>
    </xf>
    <xf numFmtId="4" fontId="32" fillId="22" borderId="2" xfId="0" applyNumberFormat="1" applyFont="1" applyFill="1" applyBorder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3" fontId="1" fillId="0" borderId="0" xfId="0" applyNumberFormat="1" applyFont="1" applyAlignment="1">
      <alignment horizontal="center"/>
    </xf>
    <xf numFmtId="175" fontId="0" fillId="0" borderId="0" xfId="0" applyNumberFormat="1" applyAlignment="1">
      <alignment horizontal="center"/>
    </xf>
    <xf numFmtId="175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0" fontId="0" fillId="0" borderId="0" xfId="0" applyNumberFormat="1"/>
    <xf numFmtId="0" fontId="21" fillId="0" borderId="2" xfId="0" applyFont="1" applyBorder="1" applyAlignment="1">
      <alignment horizontal="center"/>
    </xf>
    <xf numFmtId="3" fontId="21" fillId="29" borderId="2" xfId="0" applyNumberFormat="1" applyFont="1" applyFill="1" applyBorder="1" applyAlignment="1" applyProtection="1">
      <alignment horizontal="center"/>
    </xf>
    <xf numFmtId="4" fontId="5" fillId="30" borderId="2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5" fillId="31" borderId="0" xfId="0" applyFont="1" applyFill="1"/>
    <xf numFmtId="0" fontId="0" fillId="31" borderId="0" xfId="0" applyFill="1"/>
    <xf numFmtId="2" fontId="1" fillId="0" borderId="2" xfId="107" applyNumberFormat="1" applyFont="1" applyBorder="1" applyAlignment="1">
      <alignment horizontal="center"/>
    </xf>
    <xf numFmtId="4" fontId="1" fillId="0" borderId="2" xfId="107" applyNumberFormat="1" applyFont="1" applyBorder="1" applyAlignment="1">
      <alignment horizontal="center"/>
    </xf>
    <xf numFmtId="0" fontId="0" fillId="32" borderId="0" xfId="0" applyFill="1" applyAlignment="1">
      <alignment horizontal="center"/>
    </xf>
    <xf numFmtId="3" fontId="1" fillId="32" borderId="0" xfId="107" applyNumberFormat="1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3" fontId="1" fillId="33" borderId="0" xfId="107" applyNumberFormat="1" applyFont="1" applyFill="1" applyBorder="1" applyAlignment="1">
      <alignment horizontal="center"/>
    </xf>
    <xf numFmtId="0" fontId="33" fillId="0" borderId="0" xfId="0" applyFont="1"/>
    <xf numFmtId="0" fontId="0" fillId="0" borderId="2" xfId="0" applyBorder="1"/>
    <xf numFmtId="0" fontId="0" fillId="0" borderId="0" xfId="0" applyNumberFormat="1" applyAlignment="1">
      <alignment horizontal="center"/>
    </xf>
    <xf numFmtId="0" fontId="0" fillId="16" borderId="0" xfId="0" applyFill="1"/>
    <xf numFmtId="14" fontId="0" fillId="26" borderId="0" xfId="0" applyNumberFormat="1" applyFill="1" applyAlignment="1" applyProtection="1">
      <alignment horizontal="center"/>
      <protection locked="0"/>
    </xf>
    <xf numFmtId="14" fontId="0" fillId="16" borderId="2" xfId="0" applyNumberForma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40" fillId="0" borderId="0" xfId="0" applyFont="1"/>
    <xf numFmtId="14" fontId="0" fillId="0" borderId="2" xfId="0" applyNumberFormat="1" applyBorder="1" applyAlignment="1">
      <alignment horizontal="center"/>
    </xf>
    <xf numFmtId="0" fontId="1" fillId="0" borderId="0" xfId="107" applyFont="1" applyBorder="1"/>
    <xf numFmtId="168" fontId="33" fillId="0" borderId="2" xfId="0" applyNumberFormat="1" applyFont="1" applyBorder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173" fontId="0" fillId="0" borderId="0" xfId="0" applyNumberFormat="1"/>
    <xf numFmtId="0" fontId="32" fillId="3" borderId="0" xfId="0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0" fontId="9" fillId="0" borderId="0" xfId="0" applyFont="1"/>
    <xf numFmtId="165" fontId="32" fillId="0" borderId="2" xfId="0" applyNumberFormat="1" applyFont="1" applyBorder="1" applyAlignment="1">
      <alignment horizontal="center"/>
    </xf>
    <xf numFmtId="0" fontId="34" fillId="10" borderId="0" xfId="106" applyFont="1" applyFill="1" applyProtection="1"/>
    <xf numFmtId="0" fontId="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175" fontId="0" fillId="0" borderId="0" xfId="0" applyNumberFormat="1"/>
    <xf numFmtId="168" fontId="0" fillId="0" borderId="2" xfId="0" applyNumberForma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0" fontId="1" fillId="34" borderId="0" xfId="0" applyFont="1" applyFill="1"/>
    <xf numFmtId="0" fontId="3" fillId="34" borderId="0" xfId="0" applyFont="1" applyFill="1"/>
    <xf numFmtId="0" fontId="1" fillId="10" borderId="0" xfId="0" applyFont="1" applyFill="1"/>
    <xf numFmtId="0" fontId="5" fillId="10" borderId="0" xfId="0" applyFont="1" applyFill="1"/>
    <xf numFmtId="0" fontId="5" fillId="0" borderId="0" xfId="0" applyFont="1" applyBorder="1" applyAlignment="1">
      <alignment horizontal="right"/>
    </xf>
    <xf numFmtId="4" fontId="21" fillId="0" borderId="0" xfId="0" applyNumberFormat="1" applyFont="1" applyBorder="1" applyAlignment="1">
      <alignment horizontal="center"/>
    </xf>
    <xf numFmtId="0" fontId="5" fillId="10" borderId="0" xfId="0" applyFont="1" applyFill="1" applyAlignment="1">
      <alignment horizontal="right"/>
    </xf>
    <xf numFmtId="0" fontId="21" fillId="34" borderId="0" xfId="0" applyFont="1" applyFill="1" applyAlignment="1">
      <alignment horizontal="left"/>
    </xf>
    <xf numFmtId="0" fontId="0" fillId="34" borderId="0" xfId="0" applyFill="1"/>
    <xf numFmtId="0" fontId="5" fillId="34" borderId="0" xfId="0" applyFont="1" applyFill="1" applyBorder="1" applyAlignment="1">
      <alignment horizontal="right"/>
    </xf>
    <xf numFmtId="4" fontId="21" fillId="34" borderId="0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4" fontId="1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27" fillId="10" borderId="0" xfId="0" applyFont="1" applyFill="1" applyAlignment="1">
      <alignment horizontal="left"/>
    </xf>
    <xf numFmtId="0" fontId="3" fillId="10" borderId="0" xfId="0" applyFont="1" applyFill="1"/>
    <xf numFmtId="0" fontId="16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0" fillId="35" borderId="2" xfId="0" applyFill="1" applyBorder="1" applyAlignment="1">
      <alignment horizontal="center"/>
    </xf>
    <xf numFmtId="1" fontId="8" fillId="35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/>
    </xf>
    <xf numFmtId="1" fontId="8" fillId="36" borderId="2" xfId="0" applyNumberFormat="1" applyFont="1" applyFill="1" applyBorder="1" applyAlignment="1">
      <alignment horizontal="center"/>
    </xf>
    <xf numFmtId="0" fontId="0" fillId="37" borderId="2" xfId="0" applyFill="1" applyBorder="1" applyAlignment="1">
      <alignment horizontal="center"/>
    </xf>
    <xf numFmtId="1" fontId="8" fillId="37" borderId="2" xfId="0" applyNumberFormat="1" applyFont="1" applyFill="1" applyBorder="1" applyAlignment="1">
      <alignment horizontal="center"/>
    </xf>
    <xf numFmtId="0" fontId="0" fillId="38" borderId="2" xfId="0" applyFill="1" applyBorder="1" applyAlignment="1">
      <alignment horizontal="center"/>
    </xf>
    <xf numFmtId="1" fontId="8" fillId="38" borderId="2" xfId="0" applyNumberFormat="1" applyFont="1" applyFill="1" applyBorder="1" applyAlignment="1">
      <alignment horizontal="center"/>
    </xf>
    <xf numFmtId="0" fontId="0" fillId="39" borderId="2" xfId="0" applyFill="1" applyBorder="1" applyAlignment="1">
      <alignment horizontal="center"/>
    </xf>
    <xf numFmtId="1" fontId="8" fillId="39" borderId="2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168" fontId="8" fillId="0" borderId="0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2" fillId="10" borderId="0" xfId="0" applyFont="1" applyFill="1"/>
    <xf numFmtId="0" fontId="5" fillId="22" borderId="2" xfId="0" applyFont="1" applyFill="1" applyBorder="1" applyAlignment="1">
      <alignment horizontal="center"/>
    </xf>
    <xf numFmtId="0" fontId="6" fillId="10" borderId="0" xfId="0" applyFont="1" applyFill="1" applyAlignment="1">
      <alignment horizontal="right"/>
    </xf>
    <xf numFmtId="0" fontId="6" fillId="10" borderId="0" xfId="0" applyFont="1" applyFill="1"/>
    <xf numFmtId="0" fontId="2" fillId="40" borderId="0" xfId="0" applyFont="1" applyFill="1" applyAlignment="1">
      <alignment horizontal="left"/>
    </xf>
    <xf numFmtId="0" fontId="1" fillId="40" borderId="0" xfId="0" applyFont="1" applyFill="1"/>
    <xf numFmtId="0" fontId="3" fillId="40" borderId="0" xfId="0" applyFont="1" applyFill="1"/>
    <xf numFmtId="0" fontId="0" fillId="40" borderId="0" xfId="0" applyFill="1"/>
    <xf numFmtId="0" fontId="5" fillId="40" borderId="0" xfId="0" applyFont="1" applyFill="1" applyBorder="1" applyAlignment="1">
      <alignment horizontal="right"/>
    </xf>
    <xf numFmtId="4" fontId="21" fillId="40" borderId="0" xfId="0" applyNumberFormat="1" applyFont="1" applyFill="1" applyBorder="1" applyAlignment="1">
      <alignment horizontal="center"/>
    </xf>
    <xf numFmtId="0" fontId="13" fillId="8" borderId="19" xfId="0" applyFont="1" applyFill="1" applyBorder="1" applyAlignment="1">
      <alignment horizontal="center"/>
    </xf>
    <xf numFmtId="10" fontId="8" fillId="0" borderId="2" xfId="0" applyNumberFormat="1" applyFont="1" applyBorder="1" applyAlignment="1" applyProtection="1">
      <alignment horizontal="center"/>
    </xf>
    <xf numFmtId="3" fontId="6" fillId="3" borderId="2" xfId="0" applyNumberFormat="1" applyFont="1" applyFill="1" applyBorder="1" applyAlignment="1" applyProtection="1">
      <alignment horizontal="center"/>
    </xf>
    <xf numFmtId="3" fontId="6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5" fillId="3" borderId="0" xfId="0" applyFont="1" applyFill="1" applyBorder="1"/>
    <xf numFmtId="1" fontId="32" fillId="0" borderId="0" xfId="0" applyNumberFormat="1" applyFont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 applyAlignment="1">
      <alignment horizontal="center"/>
    </xf>
    <xf numFmtId="9" fontId="0" fillId="0" borderId="0" xfId="0" applyNumberFormat="1"/>
    <xf numFmtId="0" fontId="8" fillId="22" borderId="0" xfId="0" applyFont="1" applyFill="1"/>
    <xf numFmtId="0" fontId="8" fillId="41" borderId="0" xfId="0" applyFont="1" applyFill="1" applyAlignment="1">
      <alignment horizontal="left"/>
    </xf>
    <xf numFmtId="0" fontId="0" fillId="41" borderId="0" xfId="0" applyFill="1"/>
    <xf numFmtId="3" fontId="8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1" fillId="42" borderId="2" xfId="0" applyNumberFormat="1" applyFont="1" applyFill="1" applyBorder="1" applyAlignment="1">
      <alignment horizontal="center"/>
    </xf>
    <xf numFmtId="169" fontId="1" fillId="42" borderId="2" xfId="0" applyNumberFormat="1" applyFont="1" applyFill="1" applyBorder="1" applyAlignment="1">
      <alignment horizontal="center"/>
    </xf>
    <xf numFmtId="1" fontId="5" fillId="42" borderId="2" xfId="0" applyNumberFormat="1" applyFont="1" applyFill="1" applyBorder="1" applyAlignment="1">
      <alignment horizontal="center"/>
    </xf>
    <xf numFmtId="4" fontId="8" fillId="42" borderId="2" xfId="0" applyNumberFormat="1" applyFont="1" applyFill="1" applyBorder="1" applyAlignment="1">
      <alignment horizontal="center"/>
    </xf>
    <xf numFmtId="0" fontId="3" fillId="0" borderId="0" xfId="0" applyFont="1"/>
    <xf numFmtId="170" fontId="3" fillId="0" borderId="0" xfId="0" applyNumberFormat="1" applyFont="1"/>
    <xf numFmtId="3" fontId="5" fillId="22" borderId="2" xfId="0" applyNumberFormat="1" applyFont="1" applyFill="1" applyBorder="1" applyAlignment="1">
      <alignment horizontal="center"/>
    </xf>
    <xf numFmtId="3" fontId="32" fillId="42" borderId="2" xfId="0" applyNumberFormat="1" applyFont="1" applyFill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3" fontId="42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" fontId="8" fillId="22" borderId="2" xfId="0" applyNumberFormat="1" applyFont="1" applyFill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1" fillId="0" borderId="0" xfId="0" applyFont="1" applyProtection="1"/>
    <xf numFmtId="4" fontId="6" fillId="3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3" fontId="0" fillId="0" borderId="0" xfId="0" applyNumberFormat="1"/>
    <xf numFmtId="168" fontId="1" fillId="0" borderId="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66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43" borderId="2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3" fillId="0" borderId="0" xfId="0" applyFont="1" applyAlignment="1">
      <alignment horizontal="right"/>
    </xf>
    <xf numFmtId="4" fontId="34" fillId="0" borderId="2" xfId="0" applyNumberFormat="1" applyFont="1" applyBorder="1" applyAlignment="1">
      <alignment horizontal="center"/>
    </xf>
    <xf numFmtId="168" fontId="33" fillId="0" borderId="0" xfId="0" applyNumberFormat="1" applyFont="1" applyBorder="1" applyAlignment="1">
      <alignment horizontal="center"/>
    </xf>
    <xf numFmtId="10" fontId="21" fillId="0" borderId="0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14" borderId="1" xfId="0" applyFill="1" applyBorder="1"/>
    <xf numFmtId="165" fontId="1" fillId="0" borderId="2" xfId="0" applyNumberFormat="1" applyFont="1" applyBorder="1" applyAlignment="1">
      <alignment horizontal="center"/>
    </xf>
    <xf numFmtId="2" fontId="5" fillId="0" borderId="0" xfId="107" applyNumberFormat="1" applyFont="1" applyBorder="1" applyAlignment="1">
      <alignment horizontal="center"/>
    </xf>
    <xf numFmtId="0" fontId="5" fillId="0" borderId="2" xfId="0" applyFont="1" applyBorder="1" applyAlignment="1"/>
    <xf numFmtId="4" fontId="3" fillId="0" borderId="2" xfId="0" applyNumberFormat="1" applyFont="1" applyBorder="1" applyAlignment="1">
      <alignment horizontal="center"/>
    </xf>
    <xf numFmtId="0" fontId="48" fillId="0" borderId="0" xfId="0" applyFont="1"/>
    <xf numFmtId="17" fontId="8" fillId="0" borderId="0" xfId="0" quotePrefix="1" applyNumberFormat="1" applyFont="1" applyAlignment="1"/>
    <xf numFmtId="0" fontId="3" fillId="44" borderId="2" xfId="0" applyFont="1" applyFill="1" applyBorder="1" applyAlignment="1">
      <alignment horizontal="center"/>
    </xf>
    <xf numFmtId="0" fontId="49" fillId="41" borderId="2" xfId="0" applyFont="1" applyFill="1" applyBorder="1" applyAlignment="1">
      <alignment horizontal="center"/>
    </xf>
    <xf numFmtId="0" fontId="3" fillId="28" borderId="2" xfId="0" applyFont="1" applyFill="1" applyBorder="1" applyAlignment="1">
      <alignment horizontal="center"/>
    </xf>
    <xf numFmtId="0" fontId="50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1" fillId="12" borderId="2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16" borderId="2" xfId="0" applyFont="1" applyFill="1" applyBorder="1" applyAlignment="1"/>
    <xf numFmtId="0" fontId="3" fillId="17" borderId="2" xfId="0" applyFont="1" applyFill="1" applyBorder="1" applyAlignment="1"/>
    <xf numFmtId="0" fontId="3" fillId="26" borderId="0" xfId="0" applyFont="1" applyFill="1"/>
    <xf numFmtId="0" fontId="3" fillId="31" borderId="0" xfId="0" applyFont="1" applyFill="1"/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2" fillId="45" borderId="0" xfId="0" applyFont="1" applyFill="1" applyAlignment="1">
      <alignment horizontal="left"/>
    </xf>
    <xf numFmtId="0" fontId="1" fillId="45" borderId="0" xfId="0" applyFont="1" applyFill="1"/>
    <xf numFmtId="0" fontId="3" fillId="45" borderId="0" xfId="0" applyFont="1" applyFill="1"/>
    <xf numFmtId="0" fontId="1" fillId="45" borderId="0" xfId="0" applyFont="1" applyFill="1" applyBorder="1"/>
    <xf numFmtId="0" fontId="3" fillId="45" borderId="0" xfId="0" applyFont="1" applyFill="1" applyBorder="1" applyAlignment="1">
      <alignment horizontal="right"/>
    </xf>
    <xf numFmtId="4" fontId="27" fillId="45" borderId="0" xfId="0" applyNumberFormat="1" applyFont="1" applyFill="1" applyBorder="1" applyAlignment="1">
      <alignment horizontal="center"/>
    </xf>
    <xf numFmtId="0" fontId="27" fillId="46" borderId="0" xfId="0" applyFont="1" applyFill="1" applyAlignment="1">
      <alignment horizontal="left"/>
    </xf>
    <xf numFmtId="0" fontId="1" fillId="46" borderId="0" xfId="0" applyFont="1" applyFill="1"/>
    <xf numFmtId="0" fontId="3" fillId="46" borderId="0" xfId="0" applyFont="1" applyFill="1"/>
    <xf numFmtId="0" fontId="1" fillId="46" borderId="0" xfId="0" applyFont="1" applyFill="1" applyBorder="1"/>
    <xf numFmtId="0" fontId="3" fillId="46" borderId="0" xfId="0" applyFont="1" applyFill="1" applyBorder="1" applyAlignment="1">
      <alignment horizontal="right"/>
    </xf>
    <xf numFmtId="4" fontId="27" fillId="46" borderId="0" xfId="0" applyNumberFormat="1" applyFont="1" applyFill="1" applyBorder="1" applyAlignment="1">
      <alignment horizontal="center"/>
    </xf>
    <xf numFmtId="0" fontId="38" fillId="46" borderId="0" xfId="0" applyFont="1" applyFill="1" applyAlignment="1">
      <alignment horizontal="left"/>
    </xf>
    <xf numFmtId="0" fontId="0" fillId="46" borderId="0" xfId="0" applyFill="1"/>
    <xf numFmtId="0" fontId="41" fillId="46" borderId="0" xfId="0" applyFont="1" applyFill="1"/>
    <xf numFmtId="0" fontId="5" fillId="46" borderId="0" xfId="0" applyFont="1" applyFill="1"/>
    <xf numFmtId="0" fontId="0" fillId="47" borderId="0" xfId="0" applyFill="1" applyBorder="1"/>
    <xf numFmtId="0" fontId="0" fillId="47" borderId="0" xfId="0" applyFill="1"/>
    <xf numFmtId="0" fontId="5" fillId="47" borderId="0" xfId="0" applyFont="1" applyFill="1" applyBorder="1" applyAlignment="1">
      <alignment horizontal="right"/>
    </xf>
    <xf numFmtId="4" fontId="21" fillId="47" borderId="0" xfId="0" applyNumberFormat="1" applyFont="1" applyFill="1" applyBorder="1" applyAlignment="1">
      <alignment horizontal="center"/>
    </xf>
    <xf numFmtId="0" fontId="21" fillId="46" borderId="0" xfId="0" applyFont="1" applyFill="1" applyAlignment="1">
      <alignment horizontal="left"/>
    </xf>
    <xf numFmtId="0" fontId="5" fillId="46" borderId="0" xfId="0" applyFont="1" applyFill="1" applyAlignment="1">
      <alignment horizontal="right"/>
    </xf>
    <xf numFmtId="0" fontId="0" fillId="47" borderId="2" xfId="0" applyFill="1" applyBorder="1" applyAlignment="1">
      <alignment horizontal="center"/>
    </xf>
    <xf numFmtId="3" fontId="5" fillId="46" borderId="2" xfId="0" applyNumberFormat="1" applyFont="1" applyFill="1" applyBorder="1" applyAlignment="1">
      <alignment horizontal="center"/>
    </xf>
    <xf numFmtId="0" fontId="5" fillId="46" borderId="0" xfId="0" applyFont="1" applyFill="1" applyBorder="1"/>
    <xf numFmtId="0" fontId="5" fillId="47" borderId="0" xfId="0" applyFont="1" applyFill="1" applyAlignment="1">
      <alignment horizontal="right"/>
    </xf>
    <xf numFmtId="0" fontId="0" fillId="48" borderId="2" xfId="0" applyFill="1" applyBorder="1" applyAlignment="1">
      <alignment horizontal="center"/>
    </xf>
    <xf numFmtId="3" fontId="5" fillId="48" borderId="2" xfId="0" applyNumberFormat="1" applyFont="1" applyFill="1" applyBorder="1" applyAlignment="1">
      <alignment horizontal="center"/>
    </xf>
    <xf numFmtId="0" fontId="0" fillId="49" borderId="2" xfId="0" applyFill="1" applyBorder="1" applyAlignment="1">
      <alignment horizontal="center"/>
    </xf>
    <xf numFmtId="3" fontId="5" fillId="49" borderId="2" xfId="0" applyNumberFormat="1" applyFont="1" applyFill="1" applyBorder="1" applyAlignment="1">
      <alignment horizontal="center"/>
    </xf>
    <xf numFmtId="0" fontId="3" fillId="41" borderId="0" xfId="0" applyFont="1" applyFill="1"/>
    <xf numFmtId="0" fontId="5" fillId="3" borderId="0" xfId="0" applyFont="1" applyFill="1"/>
    <xf numFmtId="0" fontId="8" fillId="3" borderId="0" xfId="0" applyFont="1" applyFill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0" fillId="3" borderId="0" xfId="0" applyFont="1" applyFill="1" applyAlignment="1">
      <alignment horizontal="right"/>
    </xf>
    <xf numFmtId="0" fontId="13" fillId="21" borderId="0" xfId="0" applyFont="1" applyFill="1" applyBorder="1" applyAlignment="1">
      <alignment horizontal="center"/>
    </xf>
    <xf numFmtId="0" fontId="49" fillId="16" borderId="2" xfId="0" applyFont="1" applyFill="1" applyBorder="1" applyAlignment="1">
      <alignment horizontal="center"/>
    </xf>
    <xf numFmtId="0" fontId="44" fillId="0" borderId="0" xfId="0" applyFont="1"/>
    <xf numFmtId="0" fontId="3" fillId="14" borderId="1" xfId="0" applyFont="1" applyFill="1" applyBorder="1" applyAlignment="1">
      <alignment horizontal="right"/>
    </xf>
    <xf numFmtId="0" fontId="57" fillId="0" borderId="0" xfId="0" applyFont="1" applyAlignment="1">
      <alignment horizontal="right" vertical="center"/>
    </xf>
    <xf numFmtId="10" fontId="57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48" fillId="0" borderId="0" xfId="0" applyFont="1" applyAlignment="1" applyProtection="1">
      <alignment horizontal="center"/>
      <protection locked="0"/>
    </xf>
    <xf numFmtId="0" fontId="58" fillId="0" borderId="0" xfId="0" applyFont="1" applyAlignment="1">
      <alignment vertical="top"/>
    </xf>
    <xf numFmtId="0" fontId="47" fillId="57" borderId="6" xfId="1" applyFont="1" applyBorder="1" applyAlignment="1">
      <alignment horizontal="center"/>
    </xf>
    <xf numFmtId="0" fontId="57" fillId="58" borderId="20" xfId="0" applyFont="1" applyFill="1" applyBorder="1" applyAlignment="1">
      <alignment horizontal="right" vertical="center"/>
    </xf>
    <xf numFmtId="10" fontId="57" fillId="58" borderId="1" xfId="0" applyNumberFormat="1" applyFont="1" applyFill="1" applyBorder="1" applyAlignment="1">
      <alignment horizontal="center" vertical="center"/>
    </xf>
    <xf numFmtId="0" fontId="57" fillId="58" borderId="1" xfId="0" applyFont="1" applyFill="1" applyBorder="1" applyAlignment="1">
      <alignment horizontal="center"/>
    </xf>
    <xf numFmtId="0" fontId="57" fillId="58" borderId="1" xfId="0" applyFont="1" applyFill="1" applyBorder="1" applyAlignment="1">
      <alignment horizontal="right" vertical="center"/>
    </xf>
    <xf numFmtId="0" fontId="57" fillId="58" borderId="1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59" borderId="0" xfId="0" applyFill="1"/>
    <xf numFmtId="0" fontId="0" fillId="60" borderId="0" xfId="0" applyFill="1"/>
    <xf numFmtId="0" fontId="0" fillId="0" borderId="0" xfId="0" applyAlignment="1">
      <alignment horizontal="center" vertical="center"/>
    </xf>
    <xf numFmtId="49" fontId="5" fillId="26" borderId="0" xfId="0" applyNumberFormat="1" applyFont="1" applyFill="1"/>
    <xf numFmtId="49" fontId="0" fillId="26" borderId="0" xfId="0" applyNumberFormat="1" applyFill="1" applyAlignment="1">
      <alignment horizontal="right"/>
    </xf>
    <xf numFmtId="49" fontId="0" fillId="26" borderId="0" xfId="0" applyNumberFormat="1" applyFill="1"/>
    <xf numFmtId="49" fontId="3" fillId="50" borderId="20" xfId="0" applyNumberFormat="1" applyFont="1" applyFill="1" applyBorder="1" applyAlignment="1">
      <alignment horizontal="center"/>
    </xf>
    <xf numFmtId="49" fontId="3" fillId="50" borderId="1" xfId="0" applyNumberFormat="1" applyFont="1" applyFill="1" applyBorder="1" applyAlignment="1">
      <alignment horizontal="center"/>
    </xf>
    <xf numFmtId="49" fontId="5" fillId="50" borderId="1" xfId="0" applyNumberFormat="1" applyFont="1" applyFill="1" applyBorder="1" applyAlignment="1">
      <alignment horizontal="center"/>
    </xf>
    <xf numFmtId="49" fontId="5" fillId="50" borderId="14" xfId="0" applyNumberFormat="1" applyFont="1" applyFill="1" applyBorder="1" applyAlignment="1">
      <alignment horizontal="center"/>
    </xf>
    <xf numFmtId="49" fontId="38" fillId="17" borderId="2" xfId="0" applyNumberFormat="1" applyFont="1" applyFill="1" applyBorder="1" applyAlignment="1">
      <alignment horizontal="center"/>
    </xf>
    <xf numFmtId="49" fontId="39" fillId="17" borderId="2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</xf>
    <xf numFmtId="49" fontId="6" fillId="0" borderId="0" xfId="0" applyNumberFormat="1" applyFont="1"/>
    <xf numFmtId="1" fontId="21" fillId="29" borderId="2" xfId="0" applyNumberFormat="1" applyFont="1" applyFill="1" applyBorder="1" applyAlignment="1" applyProtection="1">
      <alignment horizontal="center"/>
    </xf>
    <xf numFmtId="1" fontId="32" fillId="29" borderId="2" xfId="0" applyNumberFormat="1" applyFont="1" applyFill="1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5" fillId="7" borderId="0" xfId="0" applyNumberFormat="1" applyFont="1" applyFill="1"/>
    <xf numFmtId="49" fontId="11" fillId="8" borderId="0" xfId="0" applyNumberFormat="1" applyFont="1" applyFill="1" applyAlignment="1">
      <alignment horizontal="center"/>
    </xf>
    <xf numFmtId="49" fontId="13" fillId="8" borderId="2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3" fillId="22" borderId="2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0" fillId="58" borderId="0" xfId="0" applyFill="1"/>
    <xf numFmtId="0" fontId="3" fillId="58" borderId="21" xfId="0" applyFont="1" applyFill="1" applyBorder="1" applyAlignment="1">
      <alignment horizontal="right"/>
    </xf>
    <xf numFmtId="0" fontId="3" fillId="58" borderId="0" xfId="0" applyFont="1" applyFill="1" applyAlignment="1">
      <alignment horizontal="right"/>
    </xf>
    <xf numFmtId="14" fontId="1" fillId="58" borderId="2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/>
    </xf>
    <xf numFmtId="2" fontId="52" fillId="0" borderId="2" xfId="0" applyNumberFormat="1" applyFont="1" applyBorder="1" applyAlignment="1">
      <alignment horizontal="center"/>
    </xf>
    <xf numFmtId="2" fontId="48" fillId="0" borderId="20" xfId="0" applyNumberFormat="1" applyFont="1" applyBorder="1" applyAlignment="1">
      <alignment horizontal="center"/>
    </xf>
    <xf numFmtId="2" fontId="1" fillId="3" borderId="2" xfId="25" applyNumberFormat="1" applyFont="1" applyFill="1" applyBorder="1" applyAlignment="1">
      <alignment horizontal="center" vertical="center"/>
    </xf>
    <xf numFmtId="2" fontId="56" fillId="0" borderId="14" xfId="0" applyNumberFormat="1" applyFont="1" applyBorder="1" applyAlignment="1">
      <alignment horizontal="center"/>
    </xf>
    <xf numFmtId="2" fontId="55" fillId="0" borderId="14" xfId="0" applyNumberFormat="1" applyFont="1" applyBorder="1" applyAlignment="1">
      <alignment horizontal="center"/>
    </xf>
    <xf numFmtId="2" fontId="54" fillId="0" borderId="14" xfId="0" applyNumberFormat="1" applyFont="1" applyBorder="1" applyAlignment="1">
      <alignment horizontal="center"/>
    </xf>
    <xf numFmtId="2" fontId="55" fillId="0" borderId="14" xfId="86" applyNumberFormat="1" applyFont="1" applyBorder="1" applyAlignment="1">
      <alignment horizontal="center"/>
    </xf>
    <xf numFmtId="2" fontId="53" fillId="0" borderId="2" xfId="0" applyNumberFormat="1" applyFont="1" applyBorder="1" applyAlignment="1">
      <alignment horizontal="center"/>
    </xf>
    <xf numFmtId="2" fontId="59" fillId="41" borderId="2" xfId="0" applyNumberFormat="1" applyFont="1" applyFill="1" applyBorder="1" applyAlignment="1">
      <alignment horizontal="center"/>
    </xf>
    <xf numFmtId="2" fontId="51" fillId="41" borderId="2" xfId="0" applyNumberFormat="1" applyFont="1" applyFill="1" applyBorder="1" applyAlignment="1">
      <alignment horizontal="center"/>
    </xf>
    <xf numFmtId="2" fontId="52" fillId="41" borderId="2" xfId="0" applyNumberFormat="1" applyFont="1" applyFill="1" applyBorder="1" applyAlignment="1">
      <alignment horizontal="center"/>
    </xf>
    <xf numFmtId="2" fontId="55" fillId="41" borderId="2" xfId="0" applyNumberFormat="1" applyFont="1" applyFill="1" applyBorder="1" applyAlignment="1">
      <alignment horizontal="center"/>
    </xf>
    <xf numFmtId="2" fontId="56" fillId="41" borderId="2" xfId="0" applyNumberFormat="1" applyFont="1" applyFill="1" applyBorder="1" applyAlignment="1">
      <alignment horizontal="center"/>
    </xf>
    <xf numFmtId="2" fontId="53" fillId="41" borderId="2" xfId="0" applyNumberFormat="1" applyFont="1" applyFill="1" applyBorder="1" applyAlignment="1">
      <alignment horizontal="center"/>
    </xf>
    <xf numFmtId="2" fontId="52" fillId="0" borderId="20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>
      <alignment horizontal="center"/>
    </xf>
    <xf numFmtId="2" fontId="51" fillId="3" borderId="2" xfId="0" applyNumberFormat="1" applyFont="1" applyFill="1" applyBorder="1" applyAlignment="1">
      <alignment horizontal="center"/>
    </xf>
    <xf numFmtId="2" fontId="52" fillId="3" borderId="2" xfId="0" applyNumberFormat="1" applyFont="1" applyFill="1" applyBorder="1" applyAlignment="1">
      <alignment horizontal="center"/>
    </xf>
    <xf numFmtId="2" fontId="52" fillId="3" borderId="20" xfId="0" applyNumberFormat="1" applyFont="1" applyFill="1" applyBorder="1" applyAlignment="1">
      <alignment horizontal="center"/>
    </xf>
    <xf numFmtId="2" fontId="56" fillId="3" borderId="14" xfId="0" applyNumberFormat="1" applyFont="1" applyFill="1" applyBorder="1" applyAlignment="1">
      <alignment horizontal="center"/>
    </xf>
    <xf numFmtId="2" fontId="53" fillId="3" borderId="2" xfId="0" applyNumberFormat="1" applyFont="1" applyFill="1" applyBorder="1" applyAlignment="1">
      <alignment horizontal="center"/>
    </xf>
    <xf numFmtId="2" fontId="48" fillId="3" borderId="2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/>
    <xf numFmtId="2" fontId="3" fillId="22" borderId="9" xfId="0" applyNumberFormat="1" applyFont="1" applyFill="1" applyBorder="1" applyAlignment="1">
      <alignment horizontal="center"/>
    </xf>
    <xf numFmtId="2" fontId="11" fillId="8" borderId="0" xfId="0" applyNumberFormat="1" applyFont="1" applyFill="1" applyBorder="1" applyAlignment="1">
      <alignment horizontal="center"/>
    </xf>
    <xf numFmtId="2" fontId="3" fillId="22" borderId="5" xfId="0" applyNumberFormat="1" applyFont="1" applyFill="1" applyBorder="1" applyAlignment="1">
      <alignment horizontal="center"/>
    </xf>
    <xf numFmtId="2" fontId="3" fillId="22" borderId="17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left"/>
    </xf>
    <xf numFmtId="2" fontId="17" fillId="0" borderId="2" xfId="0" applyNumberFormat="1" applyFont="1" applyBorder="1"/>
    <xf numFmtId="2" fontId="18" fillId="0" borderId="2" xfId="0" applyNumberFormat="1" applyFont="1" applyBorder="1"/>
    <xf numFmtId="2" fontId="18" fillId="0" borderId="9" xfId="0" applyNumberFormat="1" applyFont="1" applyBorder="1"/>
    <xf numFmtId="2" fontId="47" fillId="57" borderId="6" xfId="1" applyNumberFormat="1" applyFont="1" applyBorder="1" applyAlignment="1">
      <alignment horizontal="center"/>
    </xf>
    <xf numFmtId="2" fontId="47" fillId="57" borderId="16" xfId="1" applyNumberFormat="1" applyFont="1" applyBorder="1" applyAlignment="1">
      <alignment horizontal="center"/>
    </xf>
    <xf numFmtId="2" fontId="47" fillId="57" borderId="26" xfId="1" applyNumberFormat="1" applyFont="1" applyBorder="1" applyAlignment="1">
      <alignment horizontal="center"/>
    </xf>
    <xf numFmtId="2" fontId="47" fillId="57" borderId="15" xfId="1" applyNumberFormat="1" applyFont="1" applyBorder="1" applyAlignment="1">
      <alignment horizontal="center"/>
    </xf>
    <xf numFmtId="2" fontId="0" fillId="3" borderId="0" xfId="0" applyNumberFormat="1" applyFill="1"/>
    <xf numFmtId="19" fontId="0" fillId="0" borderId="0" xfId="0" applyNumberFormat="1"/>
    <xf numFmtId="14" fontId="1" fillId="0" borderId="0" xfId="0" applyNumberFormat="1" applyFont="1" applyAlignment="1">
      <alignment horizontal="center"/>
    </xf>
    <xf numFmtId="19" fontId="1" fillId="0" borderId="0" xfId="0" applyNumberFormat="1" applyFont="1" applyAlignment="1">
      <alignment horizontal="center"/>
    </xf>
    <xf numFmtId="22" fontId="1" fillId="0" borderId="0" xfId="0" applyNumberFormat="1" applyFont="1" applyAlignment="1">
      <alignment horizontal="center"/>
    </xf>
    <xf numFmtId="22" fontId="0" fillId="0" borderId="0" xfId="0" applyNumberFormat="1"/>
    <xf numFmtId="2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/>
    </xf>
    <xf numFmtId="49" fontId="0" fillId="61" borderId="0" xfId="0" applyNumberFormat="1" applyFill="1"/>
    <xf numFmtId="1" fontId="0" fillId="61" borderId="0" xfId="0" applyNumberFormat="1" applyFill="1" applyAlignment="1">
      <alignment horizontal="center"/>
    </xf>
    <xf numFmtId="14" fontId="0" fillId="61" borderId="0" xfId="0" applyNumberFormat="1" applyFill="1" applyAlignment="1">
      <alignment horizontal="center"/>
    </xf>
    <xf numFmtId="19" fontId="0" fillId="61" borderId="0" xfId="0" applyNumberFormat="1" applyFill="1"/>
    <xf numFmtId="22" fontId="0" fillId="61" borderId="0" xfId="0" applyNumberFormat="1" applyFill="1"/>
    <xf numFmtId="2" fontId="0" fillId="61" borderId="0" xfId="0" applyNumberFormat="1" applyFill="1" applyAlignment="1">
      <alignment horizontal="center"/>
    </xf>
    <xf numFmtId="168" fontId="0" fillId="61" borderId="0" xfId="0" applyNumberFormat="1" applyFill="1" applyAlignment="1">
      <alignment horizontal="center"/>
    </xf>
    <xf numFmtId="9" fontId="0" fillId="61" borderId="0" xfId="0" applyNumberFormat="1" applyFill="1" applyAlignment="1">
      <alignment horizontal="center"/>
    </xf>
    <xf numFmtId="49" fontId="3" fillId="61" borderId="0" xfId="0" applyNumberFormat="1" applyFont="1" applyFill="1"/>
    <xf numFmtId="1" fontId="3" fillId="61" borderId="0" xfId="0" applyNumberFormat="1" applyFont="1" applyFill="1" applyAlignment="1">
      <alignment horizontal="center"/>
    </xf>
    <xf numFmtId="14" fontId="3" fillId="61" borderId="0" xfId="0" applyNumberFormat="1" applyFont="1" applyFill="1" applyAlignment="1">
      <alignment horizontal="center"/>
    </xf>
    <xf numFmtId="19" fontId="3" fillId="61" borderId="0" xfId="0" applyNumberFormat="1" applyFont="1" applyFill="1"/>
    <xf numFmtId="22" fontId="3" fillId="61" borderId="0" xfId="0" applyNumberFormat="1" applyFont="1" applyFill="1"/>
    <xf numFmtId="2" fontId="3" fillId="61" borderId="0" xfId="0" applyNumberFormat="1" applyFont="1" applyFill="1" applyAlignment="1">
      <alignment horizontal="center"/>
    </xf>
    <xf numFmtId="168" fontId="3" fillId="61" borderId="0" xfId="0" applyNumberFormat="1" applyFont="1" applyFill="1" applyAlignment="1">
      <alignment horizontal="center"/>
    </xf>
    <xf numFmtId="9" fontId="3" fillId="61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right"/>
    </xf>
    <xf numFmtId="49" fontId="62" fillId="0" borderId="0" xfId="0" applyNumberFormat="1" applyFont="1" applyAlignment="1">
      <alignment horizontal="right"/>
    </xf>
    <xf numFmtId="49" fontId="62" fillId="0" borderId="0" xfId="0" applyNumberFormat="1" applyFont="1"/>
    <xf numFmtId="1" fontId="62" fillId="0" borderId="0" xfId="0" applyNumberFormat="1" applyFont="1" applyAlignment="1">
      <alignment horizontal="center"/>
    </xf>
    <xf numFmtId="14" fontId="62" fillId="0" borderId="0" xfId="0" applyNumberFormat="1" applyFont="1" applyAlignment="1">
      <alignment horizontal="center"/>
    </xf>
    <xf numFmtId="1" fontId="0" fillId="0" borderId="0" xfId="0" applyNumberFormat="1" applyProtection="1">
      <protection locked="0"/>
    </xf>
    <xf numFmtId="14" fontId="1" fillId="58" borderId="2" xfId="0" applyNumberFormat="1" applyFont="1" applyFill="1" applyBorder="1" applyAlignment="1" applyProtection="1">
      <alignment horizontal="center"/>
    </xf>
    <xf numFmtId="1" fontId="3" fillId="51" borderId="0" xfId="0" applyNumberFormat="1" applyFont="1" applyFill="1" applyAlignment="1" applyProtection="1">
      <alignment horizontal="center"/>
    </xf>
    <xf numFmtId="1" fontId="0" fillId="58" borderId="2" xfId="0" applyNumberFormat="1" applyFill="1" applyBorder="1" applyAlignment="1" applyProtection="1">
      <alignment horizontal="center"/>
    </xf>
    <xf numFmtId="1" fontId="21" fillId="0" borderId="2" xfId="0" applyNumberFormat="1" applyFont="1" applyBorder="1" applyAlignment="1">
      <alignment horizontal="center"/>
    </xf>
    <xf numFmtId="1" fontId="0" fillId="51" borderId="2" xfId="0" applyNumberFormat="1" applyFill="1" applyBorder="1" applyAlignment="1" applyProtection="1">
      <alignment horizontal="center"/>
    </xf>
    <xf numFmtId="49" fontId="3" fillId="61" borderId="0" xfId="0" applyNumberFormat="1" applyFont="1" applyFill="1" applyAlignment="1">
      <alignment horizontal="left"/>
    </xf>
    <xf numFmtId="1" fontId="1" fillId="0" borderId="0" xfId="0" applyNumberFormat="1" applyFont="1" applyProtection="1"/>
    <xf numFmtId="1" fontId="0" fillId="0" borderId="0" xfId="0" applyNumberFormat="1" applyProtection="1"/>
    <xf numFmtId="1" fontId="0" fillId="51" borderId="0" xfId="0" applyNumberFormat="1" applyFill="1" applyAlignment="1" applyProtection="1">
      <alignment horizontal="center"/>
    </xf>
    <xf numFmtId="1" fontId="0" fillId="52" borderId="0" xfId="0" applyNumberFormat="1" applyFill="1" applyAlignment="1" applyProtection="1">
      <alignment horizontal="center"/>
    </xf>
    <xf numFmtId="49" fontId="0" fillId="0" borderId="0" xfId="0" applyNumberFormat="1" applyFill="1"/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 applyProtection="1">
      <alignment horizontal="left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/>
    <xf numFmtId="49" fontId="6" fillId="0" borderId="0" xfId="0" applyNumberFormat="1" applyFont="1" applyFill="1"/>
    <xf numFmtId="49" fontId="6" fillId="0" borderId="0" xfId="0" applyNumberFormat="1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horizontal="left"/>
    </xf>
    <xf numFmtId="49" fontId="44" fillId="0" borderId="0" xfId="0" applyNumberFormat="1" applyFont="1" applyFill="1" applyAlignment="1" applyProtection="1">
      <alignment horizontal="left"/>
    </xf>
    <xf numFmtId="49" fontId="5" fillId="0" borderId="0" xfId="0" applyNumberFormat="1" applyFont="1" applyFill="1" applyAlignment="1" applyProtection="1">
      <alignment horizontal="right"/>
    </xf>
    <xf numFmtId="49" fontId="0" fillId="0" borderId="0" xfId="0" applyNumberFormat="1" applyFill="1" applyBorder="1"/>
    <xf numFmtId="49" fontId="6" fillId="0" borderId="0" xfId="0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1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Alignment="1">
      <alignment horizontal="left"/>
    </xf>
    <xf numFmtId="49" fontId="1" fillId="0" borderId="0" xfId="0" applyNumberFormat="1" applyFont="1" applyFill="1" applyAlignment="1" applyProtection="1">
      <alignment horizontal="right"/>
    </xf>
    <xf numFmtId="49" fontId="6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right"/>
    </xf>
    <xf numFmtId="4" fontId="0" fillId="0" borderId="0" xfId="0" applyNumberFormat="1" applyFill="1" applyBorder="1"/>
    <xf numFmtId="0" fontId="47" fillId="57" borderId="16" xfId="1" applyFont="1" applyBorder="1" applyAlignment="1">
      <alignment horizontal="center"/>
    </xf>
    <xf numFmtId="0" fontId="47" fillId="57" borderId="15" xfId="1" applyFont="1" applyBorder="1" applyAlignment="1">
      <alignment horizontal="center"/>
    </xf>
    <xf numFmtId="4" fontId="63" fillId="0" borderId="0" xfId="0" applyNumberFormat="1" applyFont="1" applyFill="1" applyBorder="1" applyAlignment="1">
      <alignment horizontal="center"/>
    </xf>
    <xf numFmtId="4" fontId="63" fillId="0" borderId="0" xfId="0" applyNumberFormat="1" applyFont="1" applyFill="1" applyBorder="1"/>
    <xf numFmtId="10" fontId="63" fillId="0" borderId="0" xfId="0" applyNumberFormat="1" applyFont="1" applyFill="1" applyBorder="1" applyAlignment="1">
      <alignment horizontal="center"/>
    </xf>
    <xf numFmtId="4" fontId="63" fillId="0" borderId="0" xfId="0" applyNumberFormat="1" applyFont="1" applyFill="1" applyBorder="1" applyAlignment="1" applyProtection="1">
      <alignment horizontal="center"/>
      <protection locked="0"/>
    </xf>
    <xf numFmtId="4" fontId="63" fillId="0" borderId="0" xfId="0" applyNumberFormat="1" applyFont="1" applyFill="1" applyBorder="1" applyAlignment="1" applyProtection="1">
      <alignment horizontal="left"/>
    </xf>
    <xf numFmtId="4" fontId="63" fillId="0" borderId="0" xfId="0" applyNumberFormat="1" applyFont="1" applyFill="1" applyBorder="1" applyAlignment="1" applyProtection="1">
      <alignment horizontal="center"/>
    </xf>
    <xf numFmtId="4" fontId="64" fillId="0" borderId="0" xfId="0" applyNumberFormat="1" applyFont="1" applyFill="1" applyBorder="1" applyAlignment="1">
      <alignment horizontal="center"/>
    </xf>
    <xf numFmtId="10" fontId="47" fillId="57" borderId="6" xfId="1" applyNumberFormat="1" applyFont="1" applyBorder="1" applyAlignment="1">
      <alignment horizontal="center"/>
    </xf>
    <xf numFmtId="1" fontId="47" fillId="57" borderId="6" xfId="1" applyNumberFormat="1" applyFont="1" applyBorder="1" applyAlignment="1">
      <alignment horizontal="center"/>
    </xf>
    <xf numFmtId="1" fontId="11" fillId="8" borderId="0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1" fontId="11" fillId="13" borderId="6" xfId="0" applyNumberFormat="1" applyFont="1" applyFill="1" applyBorder="1" applyAlignment="1">
      <alignment horizontal="center"/>
    </xf>
    <xf numFmtId="1" fontId="11" fillId="13" borderId="22" xfId="0" applyNumberFormat="1" applyFont="1" applyFill="1" applyBorder="1" applyAlignment="1">
      <alignment horizontal="center"/>
    </xf>
    <xf numFmtId="1" fontId="11" fillId="53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11" fillId="13" borderId="23" xfId="0" applyNumberFormat="1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" fontId="3" fillId="41" borderId="2" xfId="0" applyNumberFormat="1" applyFont="1" applyFill="1" applyBorder="1" applyAlignment="1">
      <alignment horizontal="center"/>
    </xf>
    <xf numFmtId="1" fontId="3" fillId="41" borderId="5" xfId="0" applyNumberFormat="1" applyFont="1" applyFill="1" applyBorder="1" applyAlignment="1">
      <alignment horizontal="center"/>
    </xf>
    <xf numFmtId="1" fontId="54" fillId="10" borderId="2" xfId="0" applyNumberFormat="1" applyFont="1" applyFill="1" applyBorder="1" applyAlignment="1">
      <alignment horizontal="center"/>
    </xf>
    <xf numFmtId="9" fontId="65" fillId="0" borderId="0" xfId="0" applyNumberFormat="1" applyFont="1"/>
    <xf numFmtId="9" fontId="65" fillId="0" borderId="24" xfId="0" applyNumberFormat="1" applyFont="1" applyBorder="1"/>
    <xf numFmtId="49" fontId="1" fillId="0" borderId="0" xfId="0" applyNumberFormat="1" applyFont="1" applyProtection="1">
      <protection locked="0"/>
    </xf>
    <xf numFmtId="1" fontId="0" fillId="0" borderId="0" xfId="0" applyNumberFormat="1" applyBorder="1" applyProtection="1">
      <protection locked="0"/>
    </xf>
    <xf numFmtId="0" fontId="3" fillId="14" borderId="1" xfId="0" applyFont="1" applyFill="1" applyBorder="1"/>
    <xf numFmtId="1" fontId="3" fillId="61" borderId="0" xfId="0" applyNumberFormat="1" applyFont="1" applyFill="1" applyAlignment="1">
      <alignment horizontal="left"/>
    </xf>
    <xf numFmtId="14" fontId="3" fillId="61" borderId="0" xfId="0" applyNumberFormat="1" applyFont="1" applyFill="1" applyAlignment="1">
      <alignment horizontal="left"/>
    </xf>
    <xf numFmtId="19" fontId="3" fillId="61" borderId="0" xfId="0" applyNumberFormat="1" applyFont="1" applyFill="1" applyAlignment="1">
      <alignment horizontal="left"/>
    </xf>
    <xf numFmtId="22" fontId="3" fillId="61" borderId="0" xfId="0" applyNumberFormat="1" applyFont="1" applyFill="1" applyAlignment="1">
      <alignment horizontal="left"/>
    </xf>
    <xf numFmtId="2" fontId="3" fillId="61" borderId="0" xfId="0" applyNumberFormat="1" applyFont="1" applyFill="1" applyAlignment="1">
      <alignment horizontal="left"/>
    </xf>
    <xf numFmtId="168" fontId="3" fillId="61" borderId="0" xfId="0" applyNumberFormat="1" applyFont="1" applyFill="1" applyAlignment="1">
      <alignment horizontal="left"/>
    </xf>
    <xf numFmtId="9" fontId="3" fillId="61" borderId="0" xfId="0" applyNumberFormat="1" applyFont="1" applyFill="1" applyAlignment="1">
      <alignment horizontal="left"/>
    </xf>
    <xf numFmtId="49" fontId="0" fillId="61" borderId="0" xfId="0" applyNumberFormat="1" applyFill="1" applyAlignment="1">
      <alignment horizontal="right"/>
    </xf>
    <xf numFmtId="175" fontId="0" fillId="61" borderId="0" xfId="0" applyNumberFormat="1" applyFill="1" applyAlignment="1">
      <alignment horizontal="center"/>
    </xf>
    <xf numFmtId="49" fontId="62" fillId="0" borderId="0" xfId="0" applyNumberFormat="1" applyFont="1" applyProtection="1">
      <protection locked="0"/>
    </xf>
    <xf numFmtId="9" fontId="6" fillId="51" borderId="0" xfId="0" applyNumberFormat="1" applyFont="1" applyFill="1" applyAlignment="1" applyProtection="1">
      <alignment horizontal="center"/>
    </xf>
    <xf numFmtId="1" fontId="0" fillId="51" borderId="0" xfId="0" applyNumberFormat="1" applyFill="1" applyBorder="1" applyAlignment="1" applyProtection="1">
      <alignment horizontal="center"/>
    </xf>
    <xf numFmtId="10" fontId="0" fillId="51" borderId="0" xfId="0" applyNumberFormat="1" applyFill="1" applyAlignment="1" applyProtection="1">
      <alignment horizontal="center"/>
    </xf>
    <xf numFmtId="1" fontId="1" fillId="51" borderId="0" xfId="0" applyNumberFormat="1" applyFont="1" applyFill="1" applyAlignment="1" applyProtection="1">
      <alignment horizontal="center"/>
    </xf>
    <xf numFmtId="10" fontId="1" fillId="51" borderId="0" xfId="0" applyNumberFormat="1" applyFont="1" applyFill="1" applyAlignment="1" applyProtection="1">
      <alignment horizontal="center"/>
    </xf>
    <xf numFmtId="1" fontId="0" fillId="26" borderId="2" xfId="0" applyNumberFormat="1" applyFill="1" applyBorder="1" applyAlignment="1" applyProtection="1">
      <alignment horizontal="center"/>
    </xf>
    <xf numFmtId="1" fontId="1" fillId="26" borderId="2" xfId="0" applyNumberFormat="1" applyFont="1" applyFill="1" applyBorder="1" applyAlignment="1" applyProtection="1">
      <alignment horizontal="center"/>
    </xf>
    <xf numFmtId="1" fontId="0" fillId="26" borderId="0" xfId="0" applyNumberFormat="1" applyFill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49" fontId="65" fillId="0" borderId="0" xfId="0" applyNumberFormat="1" applyFont="1" applyAlignment="1">
      <alignment horizontal="center"/>
    </xf>
    <xf numFmtId="0" fontId="65" fillId="0" borderId="0" xfId="0" applyFont="1" applyAlignment="1">
      <alignment horizontal="center"/>
    </xf>
    <xf numFmtId="1" fontId="65" fillId="0" borderId="0" xfId="0" applyNumberFormat="1" applyFont="1" applyAlignment="1">
      <alignment horizontal="center"/>
    </xf>
    <xf numFmtId="1" fontId="65" fillId="0" borderId="0" xfId="0" applyNumberFormat="1" applyFont="1"/>
    <xf numFmtId="49" fontId="3" fillId="3" borderId="2" xfId="0" applyNumberFormat="1" applyFont="1" applyFill="1" applyBorder="1" applyAlignment="1">
      <alignment horizontal="left"/>
    </xf>
    <xf numFmtId="49" fontId="3" fillId="10" borderId="2" xfId="0" applyNumberFormat="1" applyFont="1" applyFill="1" applyBorder="1" applyAlignment="1">
      <alignment horizontal="left"/>
    </xf>
    <xf numFmtId="49" fontId="3" fillId="54" borderId="2" xfId="0" applyNumberFormat="1" applyFont="1" applyFill="1" applyBorder="1" applyAlignment="1">
      <alignment horizontal="left"/>
    </xf>
    <xf numFmtId="49" fontId="3" fillId="42" borderId="2" xfId="0" applyNumberFormat="1" applyFont="1" applyFill="1" applyBorder="1" applyAlignment="1">
      <alignment horizontal="left"/>
    </xf>
    <xf numFmtId="9" fontId="66" fillId="62" borderId="2" xfId="0" applyNumberFormat="1" applyFont="1" applyFill="1" applyBorder="1" applyAlignment="1">
      <alignment horizontal="center"/>
    </xf>
    <xf numFmtId="164" fontId="3" fillId="22" borderId="2" xfId="0" applyNumberFormat="1" applyFont="1" applyFill="1" applyBorder="1" applyAlignment="1">
      <alignment horizontal="center"/>
    </xf>
    <xf numFmtId="164" fontId="3" fillId="63" borderId="2" xfId="0" applyNumberFormat="1" applyFont="1" applyFill="1" applyBorder="1" applyAlignment="1">
      <alignment horizontal="center"/>
    </xf>
    <xf numFmtId="164" fontId="0" fillId="0" borderId="0" xfId="0" applyNumberFormat="1"/>
    <xf numFmtId="164" fontId="47" fillId="57" borderId="6" xfId="1" applyNumberFormat="1" applyFont="1" applyBorder="1" applyAlignment="1">
      <alignment horizontal="center"/>
    </xf>
    <xf numFmtId="164" fontId="0" fillId="3" borderId="0" xfId="0" applyNumberFormat="1" applyFill="1"/>
    <xf numFmtId="49" fontId="11" fillId="8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5" fillId="7" borderId="0" xfId="0" applyNumberFormat="1" applyFont="1" applyFill="1"/>
    <xf numFmtId="0" fontId="13" fillId="8" borderId="2" xfId="0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11" fillId="8" borderId="4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49" fontId="67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center"/>
    </xf>
    <xf numFmtId="164" fontId="68" fillId="3" borderId="2" xfId="0" applyNumberFormat="1" applyFont="1" applyFill="1" applyBorder="1" applyAlignment="1">
      <alignment horizontal="center"/>
    </xf>
    <xf numFmtId="164" fontId="69" fillId="3" borderId="2" xfId="0" applyNumberFormat="1" applyFont="1" applyFill="1" applyBorder="1" applyAlignment="1">
      <alignment horizontal="center"/>
    </xf>
    <xf numFmtId="0" fontId="69" fillId="0" borderId="0" xfId="0" applyFont="1"/>
    <xf numFmtId="1" fontId="5" fillId="0" borderId="2" xfId="0" applyNumberFormat="1" applyFont="1" applyBorder="1" applyAlignment="1">
      <alignment horizontal="center"/>
    </xf>
    <xf numFmtId="164" fontId="1" fillId="0" borderId="5" xfId="107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7" borderId="0" xfId="0" applyNumberFormat="1" applyFont="1" applyFill="1"/>
    <xf numFmtId="164" fontId="0" fillId="3" borderId="0" xfId="0" applyNumberFormat="1" applyFill="1" applyBorder="1"/>
    <xf numFmtId="164" fontId="11" fillId="3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64" fontId="2" fillId="3" borderId="0" xfId="0" applyNumberFormat="1" applyFont="1" applyFill="1" applyBorder="1" applyAlignment="1" applyProtection="1">
      <alignment horizontal="center"/>
    </xf>
    <xf numFmtId="175" fontId="65" fillId="0" borderId="0" xfId="0" applyNumberFormat="1" applyFont="1" applyAlignment="1">
      <alignment horizontal="center"/>
    </xf>
    <xf numFmtId="175" fontId="1" fillId="2" borderId="1" xfId="0" applyNumberFormat="1" applyFont="1" applyFill="1" applyBorder="1"/>
    <xf numFmtId="175" fontId="1" fillId="0" borderId="0" xfId="0" applyNumberFormat="1" applyFont="1"/>
    <xf numFmtId="175" fontId="3" fillId="6" borderId="0" xfId="0" applyNumberFormat="1" applyFont="1" applyFill="1" applyBorder="1" applyAlignment="1">
      <alignment horizontal="center"/>
    </xf>
    <xf numFmtId="175" fontId="0" fillId="0" borderId="0" xfId="0" applyNumberFormat="1" applyAlignment="1" applyProtection="1">
      <alignment horizontal="left"/>
      <protection locked="0"/>
    </xf>
    <xf numFmtId="175" fontId="0" fillId="58" borderId="0" xfId="0" applyNumberFormat="1" applyFill="1"/>
    <xf numFmtId="175" fontId="54" fillId="0" borderId="0" xfId="0" applyNumberFormat="1" applyFont="1"/>
    <xf numFmtId="175" fontId="9" fillId="3" borderId="0" xfId="0" applyNumberFormat="1" applyFont="1" applyFill="1" applyAlignment="1">
      <alignment horizontal="center"/>
    </xf>
    <xf numFmtId="175" fontId="9" fillId="3" borderId="0" xfId="0" applyNumberFormat="1" applyFont="1" applyFill="1"/>
    <xf numFmtId="175" fontId="1" fillId="0" borderId="3" xfId="0" applyNumberFormat="1" applyFont="1" applyBorder="1" applyAlignment="1">
      <alignment horizontal="center"/>
    </xf>
    <xf numFmtId="175" fontId="1" fillId="0" borderId="4" xfId="0" applyNumberFormat="1" applyFont="1" applyBorder="1" applyAlignment="1">
      <alignment horizontal="center"/>
    </xf>
    <xf numFmtId="175" fontId="1" fillId="9" borderId="0" xfId="0" applyNumberFormat="1" applyFont="1" applyFill="1" applyBorder="1"/>
    <xf numFmtId="175" fontId="1" fillId="14" borderId="1" xfId="0" applyNumberFormat="1" applyFont="1" applyFill="1" applyBorder="1"/>
    <xf numFmtId="175" fontId="1" fillId="0" borderId="1" xfId="0" applyNumberFormat="1" applyFont="1" applyBorder="1" applyAlignment="1">
      <alignment horizontal="center"/>
    </xf>
    <xf numFmtId="175" fontId="3" fillId="4" borderId="0" xfId="0" applyNumberFormat="1" applyFont="1" applyFill="1" applyBorder="1" applyAlignment="1">
      <alignment horizontal="center"/>
    </xf>
    <xf numFmtId="175" fontId="3" fillId="5" borderId="0" xfId="0" applyNumberFormat="1" applyFont="1" applyFill="1" applyBorder="1" applyAlignment="1" applyProtection="1">
      <alignment horizontal="center"/>
    </xf>
    <xf numFmtId="1" fontId="65" fillId="0" borderId="0" xfId="0" applyNumberFormat="1" applyFont="1" applyAlignment="1">
      <alignment horizontal="right"/>
    </xf>
    <xf numFmtId="1" fontId="65" fillId="0" borderId="0" xfId="0" applyNumberFormat="1" applyFont="1" applyProtection="1">
      <protection locked="0"/>
    </xf>
    <xf numFmtId="10" fontId="57" fillId="58" borderId="14" xfId="0" applyNumberFormat="1" applyFont="1" applyFill="1" applyBorder="1" applyAlignment="1">
      <alignment horizontal="center" vertical="center"/>
    </xf>
    <xf numFmtId="10" fontId="39" fillId="14" borderId="1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1" borderId="0" xfId="0" applyFont="1" applyFill="1" applyBorder="1" applyAlignment="1" applyProtection="1">
      <alignment horizontal="left" vertical="distributed"/>
      <protection locked="0"/>
    </xf>
    <xf numFmtId="49" fontId="3" fillId="51" borderId="0" xfId="0" applyNumberFormat="1" applyFont="1" applyFill="1" applyBorder="1" applyAlignment="1" applyProtection="1">
      <alignment horizontal="left" vertical="distributed"/>
    </xf>
    <xf numFmtId="0" fontId="3" fillId="51" borderId="0" xfId="0" applyFont="1" applyFill="1" applyBorder="1" applyAlignment="1" applyProtection="1">
      <alignment horizontal="left" vertical="distributed"/>
    </xf>
    <xf numFmtId="0" fontId="3" fillId="51" borderId="0" xfId="0" applyFont="1" applyFill="1" applyAlignment="1" applyProtection="1">
      <alignment horizontal="left"/>
      <protection locked="0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64" borderId="1" xfId="0" applyFont="1" applyFill="1" applyBorder="1" applyAlignment="1">
      <alignment horizontal="center"/>
    </xf>
    <xf numFmtId="0" fontId="0" fillId="65" borderId="1" xfId="0" applyFill="1" applyBorder="1" applyAlignment="1">
      <alignment horizontal="center"/>
    </xf>
    <xf numFmtId="0" fontId="45" fillId="64" borderId="3" xfId="0" applyFont="1" applyFill="1" applyBorder="1" applyAlignment="1">
      <alignment horizontal="center" vertical="center"/>
    </xf>
    <xf numFmtId="0" fontId="46" fillId="66" borderId="3" xfId="0" applyFont="1" applyFill="1" applyBorder="1" applyAlignment="1">
      <alignment vertical="center"/>
    </xf>
    <xf numFmtId="0" fontId="46" fillId="66" borderId="4" xfId="0" applyFont="1" applyFill="1" applyBorder="1" applyAlignment="1">
      <alignment vertical="center"/>
    </xf>
    <xf numFmtId="0" fontId="3" fillId="67" borderId="1" xfId="0" applyFont="1" applyFill="1" applyBorder="1" applyAlignment="1" applyProtection="1">
      <alignment horizontal="right" vertical="distributed"/>
      <protection locked="0"/>
    </xf>
    <xf numFmtId="10" fontId="39" fillId="67" borderId="1" xfId="0" applyNumberFormat="1" applyFont="1" applyFill="1" applyBorder="1" applyAlignment="1" applyProtection="1">
      <alignment horizontal="center" vertical="distributed"/>
    </xf>
    <xf numFmtId="10" fontId="41" fillId="67" borderId="1" xfId="0" applyNumberFormat="1" applyFont="1" applyFill="1" applyBorder="1" applyAlignment="1" applyProtection="1">
      <alignment horizontal="center"/>
    </xf>
    <xf numFmtId="2" fontId="3" fillId="55" borderId="20" xfId="0" applyNumberFormat="1" applyFont="1" applyFill="1" applyBorder="1" applyAlignment="1">
      <alignment horizontal="center"/>
    </xf>
    <xf numFmtId="2" fontId="0" fillId="55" borderId="1" xfId="0" applyNumberFormat="1" applyFill="1" applyBorder="1" applyAlignment="1"/>
    <xf numFmtId="2" fontId="0" fillId="55" borderId="14" xfId="0" applyNumberFormat="1" applyFill="1" applyBorder="1" applyAlignment="1"/>
    <xf numFmtId="2" fontId="3" fillId="22" borderId="20" xfId="0" applyNumberFormat="1" applyFont="1" applyFill="1" applyBorder="1" applyAlignment="1">
      <alignment horizontal="center"/>
    </xf>
    <xf numFmtId="2" fontId="3" fillId="2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1" fillId="56" borderId="20" xfId="0" applyFont="1" applyFill="1" applyBorder="1" applyAlignment="1">
      <alignment horizontal="center"/>
    </xf>
    <xf numFmtId="0" fontId="11" fillId="56" borderId="1" xfId="0" applyFont="1" applyFill="1" applyBorder="1" applyAlignment="1">
      <alignment horizontal="center"/>
    </xf>
    <xf numFmtId="0" fontId="11" fillId="56" borderId="14" xfId="0" applyFont="1" applyFill="1" applyBorder="1" applyAlignment="1">
      <alignment horizontal="center"/>
    </xf>
    <xf numFmtId="0" fontId="11" fillId="56" borderId="25" xfId="0" applyFont="1" applyFill="1" applyBorder="1" applyAlignment="1">
      <alignment horizontal="center"/>
    </xf>
    <xf numFmtId="0" fontId="11" fillId="56" borderId="3" xfId="0" applyFont="1" applyFill="1" applyBorder="1" applyAlignment="1">
      <alignment horizontal="center"/>
    </xf>
    <xf numFmtId="0" fontId="11" fillId="56" borderId="17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11" borderId="20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32" fillId="47" borderId="0" xfId="0" applyFont="1" applyFill="1" applyAlignment="1">
      <alignment horizontal="center"/>
    </xf>
    <xf numFmtId="0" fontId="32" fillId="41" borderId="0" xfId="0" applyFont="1" applyFill="1" applyAlignment="1">
      <alignment horizontal="center"/>
    </xf>
  </cellXfs>
  <cellStyles count="108">
    <cellStyle name="Énfasis1" xfId="1" builtinId="29"/>
    <cellStyle name="Normal" xfId="0" builtinId="0"/>
    <cellStyle name="Normal 10" xfId="2"/>
    <cellStyle name="Normal 11 2" xfId="3"/>
    <cellStyle name="Normal 11 3" xfId="4"/>
    <cellStyle name="Normal 11 4" xfId="5"/>
    <cellStyle name="Normal 11 5" xfId="6"/>
    <cellStyle name="Normal 11 6" xfId="7"/>
    <cellStyle name="Normal 11 7" xfId="8"/>
    <cellStyle name="Normal 11 8" xfId="9"/>
    <cellStyle name="Normal 11 9" xfId="10"/>
    <cellStyle name="Normal 12 2" xfId="11"/>
    <cellStyle name="Normal 12 3" xfId="12"/>
    <cellStyle name="Normal 12 4" xfId="13"/>
    <cellStyle name="Normal 12 5" xfId="14"/>
    <cellStyle name="Normal 12 6" xfId="15"/>
    <cellStyle name="Normal 12 7" xfId="16"/>
    <cellStyle name="Normal 12 8" xfId="17"/>
    <cellStyle name="Normal 12 9" xfId="18"/>
    <cellStyle name="Normal 13" xfId="19"/>
    <cellStyle name="Normal 14" xfId="20"/>
    <cellStyle name="Normal 15" xfId="21"/>
    <cellStyle name="Normal 16" xfId="22"/>
    <cellStyle name="Normal 17" xfId="23"/>
    <cellStyle name="Normal 18" xfId="24"/>
    <cellStyle name="Normal 2" xfId="25"/>
    <cellStyle name="Normal 2 10" xfId="26"/>
    <cellStyle name="Normal 2 11" xfId="27"/>
    <cellStyle name="Normal 2 12" xfId="28"/>
    <cellStyle name="Normal 2 13" xfId="29"/>
    <cellStyle name="Normal 2 14" xfId="30"/>
    <cellStyle name="Normal 2 15" xfId="31"/>
    <cellStyle name="Normal 2 16" xfId="32"/>
    <cellStyle name="Normal 2 17" xfId="33"/>
    <cellStyle name="Normal 2 18" xfId="34"/>
    <cellStyle name="Normal 2 19" xfId="35"/>
    <cellStyle name="Normal 2 2" xfId="36"/>
    <cellStyle name="Normal 2 2 2" xfId="37"/>
    <cellStyle name="Normal 2 2 2 2" xfId="38"/>
    <cellStyle name="Normal 2 2 2 2 2" xfId="39"/>
    <cellStyle name="Normal 2 2 2 2 2 2" xfId="40"/>
    <cellStyle name="Normal 2 2 2 2 2 3" xfId="41"/>
    <cellStyle name="Normal 2 2 2 2 2 4" xfId="42"/>
    <cellStyle name="Normal 2 2 2 2 3" xfId="43"/>
    <cellStyle name="Normal 2 2 2 2 3 2" xfId="44"/>
    <cellStyle name="Normal 2 2 2 2 3 3" xfId="45"/>
    <cellStyle name="Normal 2 2 2 2 4" xfId="46"/>
    <cellStyle name="Normal 2 2 2 3" xfId="47"/>
    <cellStyle name="Normal 2 2 2 3 2" xfId="48"/>
    <cellStyle name="Normal 2 2 2 3 3" xfId="49"/>
    <cellStyle name="Normal 2 2 2 4" xfId="50"/>
    <cellStyle name="Normal 2 2 2 5" xfId="51"/>
    <cellStyle name="Normal 2 2 2 6" xfId="52"/>
    <cellStyle name="Normal 2 2 3" xfId="53"/>
    <cellStyle name="Normal 2 2 3 2" xfId="54"/>
    <cellStyle name="Normal 2 2 3 2 2" xfId="55"/>
    <cellStyle name="Normal 2 2 3 2 3" xfId="56"/>
    <cellStyle name="Normal 2 2 3 3" xfId="57"/>
    <cellStyle name="Normal 2 2 4" xfId="58"/>
    <cellStyle name="Normal 2 2 5" xfId="59"/>
    <cellStyle name="Normal 2 2 6" xfId="60"/>
    <cellStyle name="Normal 2 2 7" xfId="61"/>
    <cellStyle name="Normal 2 2 8" xfId="62"/>
    <cellStyle name="Normal 2 2 9" xfId="63"/>
    <cellStyle name="Normal 2 20" xfId="64"/>
    <cellStyle name="Normal 2 21" xfId="65"/>
    <cellStyle name="Normal 2 22" xfId="66"/>
    <cellStyle name="Normal 2 3" xfId="67"/>
    <cellStyle name="Normal 2 3 2" xfId="68"/>
    <cellStyle name="Normal 2 3 3" xfId="69"/>
    <cellStyle name="Normal 2 3 4" xfId="70"/>
    <cellStyle name="Normal 2 3 5" xfId="71"/>
    <cellStyle name="Normal 2 3 6" xfId="72"/>
    <cellStyle name="Normal 2 3 7" xfId="73"/>
    <cellStyle name="Normal 2 3 8" xfId="74"/>
    <cellStyle name="Normal 2 3 9" xfId="75"/>
    <cellStyle name="Normal 2 4" xfId="76"/>
    <cellStyle name="Normal 2 5" xfId="77"/>
    <cellStyle name="Normal 2 6" xfId="78"/>
    <cellStyle name="Normal 2 7" xfId="79"/>
    <cellStyle name="Normal 2 8" xfId="80"/>
    <cellStyle name="Normal 2 9" xfId="81"/>
    <cellStyle name="Normal 20" xfId="82"/>
    <cellStyle name="Normal 22 2" xfId="83"/>
    <cellStyle name="Normal 22 3" xfId="84"/>
    <cellStyle name="Normal 22 4" xfId="85"/>
    <cellStyle name="Normal 3" xfId="86"/>
    <cellStyle name="Normal 3 2" xfId="87"/>
    <cellStyle name="Normal 3 3" xfId="88"/>
    <cellStyle name="Normal 3 4" xfId="89"/>
    <cellStyle name="Normal 4 10" xfId="90"/>
    <cellStyle name="Normal 4 11" xfId="91"/>
    <cellStyle name="Normal 4 2" xfId="92"/>
    <cellStyle name="Normal 4 3" xfId="93"/>
    <cellStyle name="Normal 4 4" xfId="94"/>
    <cellStyle name="Normal 4 5" xfId="95"/>
    <cellStyle name="Normal 4 6" xfId="96"/>
    <cellStyle name="Normal 4 7" xfId="97"/>
    <cellStyle name="Normal 4 8" xfId="98"/>
    <cellStyle name="Normal 4 9" xfId="99"/>
    <cellStyle name="Normal 5" xfId="100"/>
    <cellStyle name="Normal 5 2" xfId="101"/>
    <cellStyle name="Normal 6" xfId="102"/>
    <cellStyle name="Normal 7" xfId="103"/>
    <cellStyle name="Normal 8" xfId="104"/>
    <cellStyle name="Normal 9" xfId="105"/>
    <cellStyle name="Normal_FCAS" xfId="106"/>
    <cellStyle name="Normal_Hoja1" xfId="1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C$12" fmlaRange="TABLAS!$E$7:$E$8" val="0"/>
</file>

<file path=xl/ctrlProps/ctrlProp10.xml><?xml version="1.0" encoding="utf-8"?>
<formControlPr xmlns="http://schemas.microsoft.com/office/spreadsheetml/2009/9/main" objectType="Drop" dropStyle="combo" dx="16" fmlaLink="$D$44" fmlaRange="TABSAL!$C$8:$C$110" sel="81" val="5"/>
</file>

<file path=xl/ctrlProps/ctrlProp11.xml><?xml version="1.0" encoding="utf-8"?>
<formControlPr xmlns="http://schemas.microsoft.com/office/spreadsheetml/2009/9/main" objectType="Drop" dropStyle="combo" dx="16" fmlaLink="$D$46" fmlaRange="TABSAL!$C$8:$C$110" sel="71" val="80"/>
</file>

<file path=xl/ctrlProps/ctrlProp12.xml><?xml version="1.0" encoding="utf-8"?>
<formControlPr xmlns="http://schemas.microsoft.com/office/spreadsheetml/2009/9/main" objectType="Drop" dropStyle="combo" dx="16" fmlaLink="$D$48" fmlaRange="TABSAL!$C$8:$C$110" sel="59" val="20"/>
</file>

<file path=xl/ctrlProps/ctrlProp13.xml><?xml version="1.0" encoding="utf-8"?>
<formControlPr xmlns="http://schemas.microsoft.com/office/spreadsheetml/2009/9/main" objectType="Drop" dropStyle="combo" dx="16" fmlaLink="$D$50" fmlaRange="TABSAL!$C$8:$C$110" sel="103" val="94"/>
</file>

<file path=xl/ctrlProps/ctrlProp14.xml><?xml version="1.0" encoding="utf-8"?>
<formControlPr xmlns="http://schemas.microsoft.com/office/spreadsheetml/2009/9/main" objectType="Drop" dropStyle="combo" dx="16" fmlaLink="$D$52" fmlaRange="TABSAL!$C$8:$C$110" sel="67" val="64"/>
</file>

<file path=xl/ctrlProps/ctrlProp15.xml><?xml version="1.0" encoding="utf-8"?>
<formControlPr xmlns="http://schemas.microsoft.com/office/spreadsheetml/2009/9/main" objectType="Drop" dropStyle="combo" dx="16" fmlaLink="$D$62" fmlaRange="TABLAS!$H$50:$H$51" val="0"/>
</file>

<file path=xl/ctrlProps/ctrlProp16.xml><?xml version="1.0" encoding="utf-8"?>
<formControlPr xmlns="http://schemas.microsoft.com/office/spreadsheetml/2009/9/main" objectType="CheckBox" checked="Checked" fmlaLink="$B$68" lockText="1"/>
</file>

<file path=xl/ctrlProps/ctrlProp17.xml><?xml version="1.0" encoding="utf-8"?>
<formControlPr xmlns="http://schemas.microsoft.com/office/spreadsheetml/2009/9/main" objectType="CheckBox" fmlaLink="$B$70" lockText="1"/>
</file>

<file path=xl/ctrlProps/ctrlProp18.xml><?xml version="1.0" encoding="utf-8"?>
<formControlPr xmlns="http://schemas.microsoft.com/office/spreadsheetml/2009/9/main" objectType="CheckBox" fmlaLink="$B$72" lockText="1"/>
</file>

<file path=xl/ctrlProps/ctrlProp19.xml><?xml version="1.0" encoding="utf-8"?>
<formControlPr xmlns="http://schemas.microsoft.com/office/spreadsheetml/2009/9/main" objectType="CheckBox" fmlaLink="$F$90" lockText="1"/>
</file>

<file path=xl/ctrlProps/ctrlProp2.xml><?xml version="1.0" encoding="utf-8"?>
<formControlPr xmlns="http://schemas.microsoft.com/office/spreadsheetml/2009/9/main" objectType="Drop" dropStyle="combo" dx="16" fmlaLink="$H$14" fmlaRange="TABLAS!$D$15:$D$28" sel="14" val="0"/>
</file>

<file path=xl/ctrlProps/ctrlProp20.xml><?xml version="1.0" encoding="utf-8"?>
<formControlPr xmlns="http://schemas.microsoft.com/office/spreadsheetml/2009/9/main" objectType="CheckBox" fmlaLink="$H$96" lockText="1"/>
</file>

<file path=xl/ctrlProps/ctrlProp21.xml><?xml version="1.0" encoding="utf-8"?>
<formControlPr xmlns="http://schemas.microsoft.com/office/spreadsheetml/2009/9/main" objectType="CheckBox" fmlaLink="$H$131" lockText="1"/>
</file>

<file path=xl/ctrlProps/ctrlProp22.xml><?xml version="1.0" encoding="utf-8"?>
<formControlPr xmlns="http://schemas.microsoft.com/office/spreadsheetml/2009/9/main" objectType="CheckBox" checked="Checked" fmlaLink="$D$148" lockText="1"/>
</file>

<file path=xl/ctrlProps/ctrlProp23.xml><?xml version="1.0" encoding="utf-8"?>
<formControlPr xmlns="http://schemas.microsoft.com/office/spreadsheetml/2009/9/main" objectType="CheckBox" checked="Checked" fmlaLink="$G$148" lockText="1"/>
</file>

<file path=xl/ctrlProps/ctrlProp24.xml><?xml version="1.0" encoding="utf-8"?>
<formControlPr xmlns="http://schemas.microsoft.com/office/spreadsheetml/2009/9/main" objectType="CheckBox" fmlaLink="$D$114" lockText="1"/>
</file>

<file path=xl/ctrlProps/ctrlProp25.xml><?xml version="1.0" encoding="utf-8"?>
<formControlPr xmlns="http://schemas.microsoft.com/office/spreadsheetml/2009/9/main" objectType="CheckBox" fmlaLink="$E$114" lockText="1"/>
</file>

<file path=xl/ctrlProps/ctrlProp26.xml><?xml version="1.0" encoding="utf-8"?>
<formControlPr xmlns="http://schemas.microsoft.com/office/spreadsheetml/2009/9/main" objectType="CheckBox" fmlaLink="$F$114" lockText="1"/>
</file>

<file path=xl/ctrlProps/ctrlProp27.xml><?xml version="1.0" encoding="utf-8"?>
<formControlPr xmlns="http://schemas.microsoft.com/office/spreadsheetml/2009/9/main" objectType="CheckBox" fmlaLink="$G$114" lockText="1"/>
</file>

<file path=xl/ctrlProps/ctrlProp28.xml><?xml version="1.0" encoding="utf-8"?>
<formControlPr xmlns="http://schemas.microsoft.com/office/spreadsheetml/2009/9/main" objectType="CheckBox" fmlaLink="$H$114" lockText="1"/>
</file>

<file path=xl/ctrlProps/ctrlProp29.xml><?xml version="1.0" encoding="utf-8"?>
<formControlPr xmlns="http://schemas.microsoft.com/office/spreadsheetml/2009/9/main" objectType="Drop" dropStyle="combo" dx="16" fmlaLink="$D$14" fmlaRange="TABLAS!$G$15:$G$16" val="0"/>
</file>

<file path=xl/ctrlProps/ctrlProp3.xml><?xml version="1.0" encoding="utf-8"?>
<formControlPr xmlns="http://schemas.microsoft.com/office/spreadsheetml/2009/9/main" objectType="Drop" dropStyle="combo" dx="16" fmlaLink="$K$16" fmlaRange="TABLAS!$J$15:$J$17" sel="2" val="0"/>
</file>

<file path=xl/ctrlProps/ctrlProp30.xml><?xml version="1.0" encoding="utf-8"?>
<formControlPr xmlns="http://schemas.microsoft.com/office/spreadsheetml/2009/9/main" objectType="CheckBox" checked="Checked" fmlaLink="$C$128" lockText="1"/>
</file>

<file path=xl/ctrlProps/ctrlProp31.xml><?xml version="1.0" encoding="utf-8"?>
<formControlPr xmlns="http://schemas.microsoft.com/office/spreadsheetml/2009/9/main" objectType="CheckBox" checked="Checked" fmlaLink="$D$128" lockText="1"/>
</file>

<file path=xl/ctrlProps/ctrlProp32.xml><?xml version="1.0" encoding="utf-8"?>
<formControlPr xmlns="http://schemas.microsoft.com/office/spreadsheetml/2009/9/main" objectType="CheckBox" checked="Checked" fmlaLink="$E$128" lockText="1"/>
</file>

<file path=xl/ctrlProps/ctrlProp33.xml><?xml version="1.0" encoding="utf-8"?>
<formControlPr xmlns="http://schemas.microsoft.com/office/spreadsheetml/2009/9/main" objectType="CheckBox" checked="Checked" fmlaLink="$F$128" lockText="1"/>
</file>

<file path=xl/ctrlProps/ctrlProp34.xml><?xml version="1.0" encoding="utf-8"?>
<formControlPr xmlns="http://schemas.microsoft.com/office/spreadsheetml/2009/9/main" objectType="CheckBox" checked="Checked" fmlaLink="$F$96" lockText="1"/>
</file>

<file path=xl/ctrlProps/ctrlProp35.xml><?xml version="1.0" encoding="utf-8"?>
<formControlPr xmlns="http://schemas.microsoft.com/office/spreadsheetml/2009/9/main" objectType="CheckBox" checked="Checked" fmlaLink="$H$157" lockText="1"/>
</file>

<file path=xl/ctrlProps/ctrlProp36.xml><?xml version="1.0" encoding="utf-8"?>
<formControlPr xmlns="http://schemas.microsoft.com/office/spreadsheetml/2009/9/main" objectType="CheckBox" checked="Checked" fmlaLink="$H$160" lockText="1"/>
</file>

<file path=xl/ctrlProps/ctrlProp37.xml><?xml version="1.0" encoding="utf-8"?>
<formControlPr xmlns="http://schemas.microsoft.com/office/spreadsheetml/2009/9/main" objectType="CheckBox" checked="Checked" fmlaLink="$H$163" lockText="1"/>
</file>

<file path=xl/ctrlProps/ctrlProp38.xml><?xml version="1.0" encoding="utf-8"?>
<formControlPr xmlns="http://schemas.microsoft.com/office/spreadsheetml/2009/9/main" objectType="Spin" dx="16" fmlaLink="$D$157" max="365" page="10" val="180"/>
</file>

<file path=xl/ctrlProps/ctrlProp39.xml><?xml version="1.0" encoding="utf-8"?>
<formControlPr xmlns="http://schemas.microsoft.com/office/spreadsheetml/2009/9/main" objectType="Spin" dx="16" fmlaLink="$D$160" max="365" page="10" val="30"/>
</file>

<file path=xl/ctrlProps/ctrlProp4.xml><?xml version="1.0" encoding="utf-8"?>
<formControlPr xmlns="http://schemas.microsoft.com/office/spreadsheetml/2009/9/main" objectType="Spin" dx="16" fmlaLink="$E$18" max="365" min="1" page="10" val="365"/>
</file>

<file path=xl/ctrlProps/ctrlProp40.xml><?xml version="1.0" encoding="utf-8"?>
<formControlPr xmlns="http://schemas.microsoft.com/office/spreadsheetml/2009/9/main" objectType="Spin" dx="16" fmlaLink="$D$163" max="365" page="10" val="30"/>
</file>

<file path=xl/ctrlProps/ctrlProp41.xml><?xml version="1.0" encoding="utf-8"?>
<formControlPr xmlns="http://schemas.microsoft.com/office/spreadsheetml/2009/9/main" objectType="CheckBox" fmlaLink="$H$170" lockText="1"/>
</file>

<file path=xl/ctrlProps/ctrlProp42.xml><?xml version="1.0" encoding="utf-8"?>
<formControlPr xmlns="http://schemas.microsoft.com/office/spreadsheetml/2009/9/main" objectType="Drop" dropStyle="combo" dx="16" fmlaLink="$E$178" fmlaRange="TABLAS!$E$86:$E$90" val="0"/>
</file>

<file path=xl/ctrlProps/ctrlProp43.xml><?xml version="1.0" encoding="utf-8"?>
<formControlPr xmlns="http://schemas.microsoft.com/office/spreadsheetml/2009/9/main" objectType="Drop" dropStyle="combo" dx="16" fmlaLink="$E$180" fmlaRange="TABLAS!$E$92:$E$94" sel="3" val="0"/>
</file>

<file path=xl/ctrlProps/ctrlProp44.xml><?xml version="1.0" encoding="utf-8"?>
<formControlPr xmlns="http://schemas.microsoft.com/office/spreadsheetml/2009/9/main" objectType="CheckBox" checked="Checked" fmlaLink="'FCAS-PROXY'!$D$28" lockText="1"/>
</file>

<file path=xl/ctrlProps/ctrlProp45.xml><?xml version="1.0" encoding="utf-8"?>
<formControlPr xmlns="http://schemas.microsoft.com/office/spreadsheetml/2009/9/main" objectType="CheckBox" checked="Checked" fmlaLink="$H$186" lockText="1"/>
</file>

<file path=xl/ctrlProps/ctrlProp46.xml><?xml version="1.0" encoding="utf-8"?>
<formControlPr xmlns="http://schemas.microsoft.com/office/spreadsheetml/2009/9/main" objectType="CheckBox" checked="Checked" fmlaLink="$G$190" lockText="1"/>
</file>

<file path=xl/ctrlProps/ctrlProp47.xml><?xml version="1.0" encoding="utf-8"?>
<formControlPr xmlns="http://schemas.microsoft.com/office/spreadsheetml/2009/9/main" objectType="CheckBox" checked="Checked" fmlaLink="$G$194" lockText="1"/>
</file>

<file path=xl/ctrlProps/ctrlProp48.xml><?xml version="1.0" encoding="utf-8"?>
<formControlPr xmlns="http://schemas.microsoft.com/office/spreadsheetml/2009/9/main" objectType="CheckBox" checked="Checked" fmlaLink="$G$202" lockText="1"/>
</file>

<file path=xl/ctrlProps/ctrlProp49.xml><?xml version="1.0" encoding="utf-8"?>
<formControlPr xmlns="http://schemas.microsoft.com/office/spreadsheetml/2009/9/main" objectType="CheckBox" fmlaLink="$G$204" lockText="1"/>
</file>

<file path=xl/ctrlProps/ctrlProp5.xml><?xml version="1.0" encoding="utf-8"?>
<formControlPr xmlns="http://schemas.microsoft.com/office/spreadsheetml/2009/9/main" objectType="Drop" dropStyle="combo" dx="16" fmlaLink="$D$34" fmlaRange="TABSAL!$C$8:$C$110" sel="49" val="48"/>
</file>

<file path=xl/ctrlProps/ctrlProp50.xml><?xml version="1.0" encoding="utf-8"?>
<formControlPr xmlns="http://schemas.microsoft.com/office/spreadsheetml/2009/9/main" objectType="CheckBox" checked="Checked" fmlaLink="$G$206" lockText="1"/>
</file>

<file path=xl/ctrlProps/ctrlProp51.xml><?xml version="1.0" encoding="utf-8"?>
<formControlPr xmlns="http://schemas.microsoft.com/office/spreadsheetml/2009/9/main" objectType="Spin" dx="16" fmlaLink="$D$211" max="365" page="10" val="30"/>
</file>

<file path=xl/ctrlProps/ctrlProp52.xml><?xml version="1.0" encoding="utf-8"?>
<formControlPr xmlns="http://schemas.microsoft.com/office/spreadsheetml/2009/9/main" objectType="CheckBox" checked="Checked" fmlaLink="$H$211" lockText="1"/>
</file>

<file path=xl/ctrlProps/ctrlProp53.xml><?xml version="1.0" encoding="utf-8"?>
<formControlPr xmlns="http://schemas.microsoft.com/office/spreadsheetml/2009/9/main" objectType="CheckBox" checked="Checked" fmlaLink="$H$214" lockText="1"/>
</file>

<file path=xl/ctrlProps/ctrlProp6.xml><?xml version="1.0" encoding="utf-8"?>
<formControlPr xmlns="http://schemas.microsoft.com/office/spreadsheetml/2009/9/main" objectType="Drop" dropStyle="combo" dx="16" fmlaLink="$D$36" fmlaRange="TABSAL!$C$8:$C$110" sel="2" val="0"/>
</file>

<file path=xl/ctrlProps/ctrlProp7.xml><?xml version="1.0" encoding="utf-8"?>
<formControlPr xmlns="http://schemas.microsoft.com/office/spreadsheetml/2009/9/main" objectType="Drop" dropStyle="combo" dx="16" fmlaLink="$D$38" fmlaRange="TABSAL!$C$8:$C$110" sel="12" val="11"/>
</file>

<file path=xl/ctrlProps/ctrlProp8.xml><?xml version="1.0" encoding="utf-8"?>
<formControlPr xmlns="http://schemas.microsoft.com/office/spreadsheetml/2009/9/main" objectType="Drop" dropStyle="combo" dx="16" fmlaLink="$D$40" fmlaRange="TABSAL!$C$8:$C$110" sel="31" val="13"/>
</file>

<file path=xl/ctrlProps/ctrlProp9.xml><?xml version="1.0" encoding="utf-8"?>
<formControlPr xmlns="http://schemas.microsoft.com/office/spreadsheetml/2009/9/main" objectType="Drop" dropStyle="combo" dx="16" fmlaLink="$D$42" fmlaRange="TABSAL!$C$8:$C$110" sel="73" val="8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10</xdr:row>
          <xdr:rowOff>114300</xdr:rowOff>
        </xdr:from>
        <xdr:to>
          <xdr:col>3</xdr:col>
          <xdr:colOff>133350</xdr:colOff>
          <xdr:row>12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12</xdr:row>
          <xdr:rowOff>114300</xdr:rowOff>
        </xdr:from>
        <xdr:to>
          <xdr:col>8</xdr:col>
          <xdr:colOff>190500</xdr:colOff>
          <xdr:row>14</xdr:row>
          <xdr:rowOff>28575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14</xdr:row>
          <xdr:rowOff>114300</xdr:rowOff>
        </xdr:from>
        <xdr:to>
          <xdr:col>10</xdr:col>
          <xdr:colOff>142875</xdr:colOff>
          <xdr:row>16</xdr:row>
          <xdr:rowOff>28575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723900</xdr:colOff>
          <xdr:row>16</xdr:row>
          <xdr:rowOff>95250</xdr:rowOff>
        </xdr:from>
        <xdr:to>
          <xdr:col>5</xdr:col>
          <xdr:colOff>104775</xdr:colOff>
          <xdr:row>18</xdr:row>
          <xdr:rowOff>57150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32</xdr:row>
          <xdr:rowOff>114300</xdr:rowOff>
        </xdr:from>
        <xdr:to>
          <xdr:col>4</xdr:col>
          <xdr:colOff>323850</xdr:colOff>
          <xdr:row>34</xdr:row>
          <xdr:rowOff>28575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200025</xdr:colOff>
          <xdr:row>34</xdr:row>
          <xdr:rowOff>114300</xdr:rowOff>
        </xdr:from>
        <xdr:to>
          <xdr:col>4</xdr:col>
          <xdr:colOff>323850</xdr:colOff>
          <xdr:row>36</xdr:row>
          <xdr:rowOff>28575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200025</xdr:colOff>
          <xdr:row>36</xdr:row>
          <xdr:rowOff>114300</xdr:rowOff>
        </xdr:from>
        <xdr:to>
          <xdr:col>4</xdr:col>
          <xdr:colOff>323850</xdr:colOff>
          <xdr:row>38</xdr:row>
          <xdr:rowOff>28575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200025</xdr:colOff>
          <xdr:row>38</xdr:row>
          <xdr:rowOff>104775</xdr:rowOff>
        </xdr:from>
        <xdr:to>
          <xdr:col>4</xdr:col>
          <xdr:colOff>323850</xdr:colOff>
          <xdr:row>40</xdr:row>
          <xdr:rowOff>19050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200025</xdr:colOff>
          <xdr:row>40</xdr:row>
          <xdr:rowOff>104775</xdr:rowOff>
        </xdr:from>
        <xdr:to>
          <xdr:col>4</xdr:col>
          <xdr:colOff>323850</xdr:colOff>
          <xdr:row>42</xdr:row>
          <xdr:rowOff>19050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209550</xdr:colOff>
          <xdr:row>42</xdr:row>
          <xdr:rowOff>104775</xdr:rowOff>
        </xdr:from>
        <xdr:to>
          <xdr:col>4</xdr:col>
          <xdr:colOff>314325</xdr:colOff>
          <xdr:row>44</xdr:row>
          <xdr:rowOff>19050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209550</xdr:colOff>
          <xdr:row>44</xdr:row>
          <xdr:rowOff>104775</xdr:rowOff>
        </xdr:from>
        <xdr:to>
          <xdr:col>4</xdr:col>
          <xdr:colOff>323850</xdr:colOff>
          <xdr:row>46</xdr:row>
          <xdr:rowOff>19050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209550</xdr:colOff>
          <xdr:row>46</xdr:row>
          <xdr:rowOff>104775</xdr:rowOff>
        </xdr:from>
        <xdr:to>
          <xdr:col>4</xdr:col>
          <xdr:colOff>323850</xdr:colOff>
          <xdr:row>48</xdr:row>
          <xdr:rowOff>19050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219075</xdr:colOff>
          <xdr:row>48</xdr:row>
          <xdr:rowOff>104775</xdr:rowOff>
        </xdr:from>
        <xdr:to>
          <xdr:col>4</xdr:col>
          <xdr:colOff>323850</xdr:colOff>
          <xdr:row>50</xdr:row>
          <xdr:rowOff>19050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219075</xdr:colOff>
          <xdr:row>50</xdr:row>
          <xdr:rowOff>114300</xdr:rowOff>
        </xdr:from>
        <xdr:to>
          <xdr:col>4</xdr:col>
          <xdr:colOff>314325</xdr:colOff>
          <xdr:row>52</xdr:row>
          <xdr:rowOff>38100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114300</xdr:rowOff>
        </xdr:from>
        <xdr:to>
          <xdr:col>4</xdr:col>
          <xdr:colOff>504825</xdr:colOff>
          <xdr:row>62</xdr:row>
          <xdr:rowOff>28575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66</xdr:row>
          <xdr:rowOff>104775</xdr:rowOff>
        </xdr:from>
        <xdr:to>
          <xdr:col>3</xdr:col>
          <xdr:colOff>619125</xdr:colOff>
          <xdr:row>68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 TRABAJARA LOS SABADOS             CANTIDAD =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68</xdr:row>
          <xdr:rowOff>95250</xdr:rowOff>
        </xdr:from>
        <xdr:to>
          <xdr:col>3</xdr:col>
          <xdr:colOff>609600</xdr:colOff>
          <xdr:row>70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 TRABAJARA LOS DOMINGO            CANTIDAD =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70</xdr:row>
          <xdr:rowOff>104775</xdr:rowOff>
        </xdr:from>
        <xdr:to>
          <xdr:col>3</xdr:col>
          <xdr:colOff>619125</xdr:colOff>
          <xdr:row>72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 TRABAJARA LOS FERIADOS           CANTIDAD =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466725</xdr:colOff>
          <xdr:row>88</xdr:row>
          <xdr:rowOff>114300</xdr:rowOff>
        </xdr:from>
        <xdr:to>
          <xdr:col>5</xdr:col>
          <xdr:colOff>666750</xdr:colOff>
          <xdr:row>90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409575</xdr:colOff>
          <xdr:row>94</xdr:row>
          <xdr:rowOff>95250</xdr:rowOff>
        </xdr:from>
        <xdr:to>
          <xdr:col>8</xdr:col>
          <xdr:colOff>9525</xdr:colOff>
          <xdr:row>96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COMEDOR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609600</xdr:colOff>
          <xdr:row>129</xdr:row>
          <xdr:rowOff>85725</xdr:rowOff>
        </xdr:from>
        <xdr:to>
          <xdr:col>8</xdr:col>
          <xdr:colOff>114300</xdr:colOff>
          <xdr:row>131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146</xdr:row>
          <xdr:rowOff>114300</xdr:rowOff>
        </xdr:from>
        <xdr:to>
          <xdr:col>4</xdr:col>
          <xdr:colOff>180975</xdr:colOff>
          <xdr:row>148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H. EXT.DIURNA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146</xdr:row>
          <xdr:rowOff>114300</xdr:rowOff>
        </xdr:from>
        <xdr:to>
          <xdr:col>7</xdr:col>
          <xdr:colOff>409575</xdr:colOff>
          <xdr:row>148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H.EXT.NOCTURNA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113</xdr:row>
          <xdr:rowOff>0</xdr:rowOff>
        </xdr:from>
        <xdr:to>
          <xdr:col>4</xdr:col>
          <xdr:colOff>0</xdr:colOff>
          <xdr:row>114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DESAYUNO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113</xdr:row>
          <xdr:rowOff>0</xdr:rowOff>
        </xdr:from>
        <xdr:to>
          <xdr:col>5</xdr:col>
          <xdr:colOff>0</xdr:colOff>
          <xdr:row>114</xdr:row>
          <xdr:rowOff>76200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ALMUERZO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752475</xdr:colOff>
          <xdr:row>113</xdr:row>
          <xdr:rowOff>0</xdr:rowOff>
        </xdr:from>
        <xdr:to>
          <xdr:col>5</xdr:col>
          <xdr:colOff>628650</xdr:colOff>
          <xdr:row>114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504825</xdr:colOff>
          <xdr:row>113</xdr:row>
          <xdr:rowOff>0</xdr:rowOff>
        </xdr:from>
        <xdr:to>
          <xdr:col>7</xdr:col>
          <xdr:colOff>57150</xdr:colOff>
          <xdr:row>114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57150</xdr:colOff>
          <xdr:row>112</xdr:row>
          <xdr:rowOff>133350</xdr:rowOff>
        </xdr:from>
        <xdr:to>
          <xdr:col>8</xdr:col>
          <xdr:colOff>200025</xdr:colOff>
          <xdr:row>114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HABITACIÓN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12</xdr:row>
          <xdr:rowOff>114300</xdr:rowOff>
        </xdr:from>
        <xdr:to>
          <xdr:col>4</xdr:col>
          <xdr:colOff>0</xdr:colOff>
          <xdr:row>14</xdr:row>
          <xdr:rowOff>28575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126</xdr:row>
          <xdr:rowOff>66675</xdr:rowOff>
        </xdr:from>
        <xdr:to>
          <xdr:col>3</xdr:col>
          <xdr:colOff>0</xdr:colOff>
          <xdr:row>127</xdr:row>
          <xdr:rowOff>142875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T.DOC.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126</xdr:row>
          <xdr:rowOff>66675</xdr:rowOff>
        </xdr:from>
        <xdr:to>
          <xdr:col>3</xdr:col>
          <xdr:colOff>752475</xdr:colOff>
          <xdr:row>127</xdr:row>
          <xdr:rowOff>142875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R.DECLR.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126</xdr:row>
          <xdr:rowOff>66675</xdr:rowOff>
        </xdr:from>
        <xdr:to>
          <xdr:col>4</xdr:col>
          <xdr:colOff>733425</xdr:colOff>
          <xdr:row>127</xdr:row>
          <xdr:rowOff>142875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D.POLIC.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733425</xdr:colOff>
          <xdr:row>126</xdr:row>
          <xdr:rowOff>66675</xdr:rowOff>
        </xdr:from>
        <xdr:to>
          <xdr:col>6</xdr:col>
          <xdr:colOff>0</xdr:colOff>
          <xdr:row>127</xdr:row>
          <xdr:rowOff>142875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SER.MILIT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762000</xdr:colOff>
          <xdr:row>94</xdr:row>
          <xdr:rowOff>104775</xdr:rowOff>
        </xdr:from>
        <xdr:to>
          <xdr:col>6</xdr:col>
          <xdr:colOff>266700</xdr:colOff>
          <xdr:row>96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 BONO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647700</xdr:colOff>
          <xdr:row>155</xdr:row>
          <xdr:rowOff>104775</xdr:rowOff>
        </xdr:from>
        <xdr:to>
          <xdr:col>8</xdr:col>
          <xdr:colOff>47625</xdr:colOff>
          <xdr:row>157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647700</xdr:colOff>
          <xdr:row>158</xdr:row>
          <xdr:rowOff>95250</xdr:rowOff>
        </xdr:from>
        <xdr:to>
          <xdr:col>8</xdr:col>
          <xdr:colOff>76200</xdr:colOff>
          <xdr:row>160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647700</xdr:colOff>
          <xdr:row>161</xdr:row>
          <xdr:rowOff>95250</xdr:rowOff>
        </xdr:from>
        <xdr:to>
          <xdr:col>8</xdr:col>
          <xdr:colOff>76200</xdr:colOff>
          <xdr:row>163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155</xdr:row>
          <xdr:rowOff>85725</xdr:rowOff>
        </xdr:from>
        <xdr:to>
          <xdr:col>4</xdr:col>
          <xdr:colOff>161925</xdr:colOff>
          <xdr:row>157</xdr:row>
          <xdr:rowOff>66675</xdr:rowOff>
        </xdr:to>
        <xdr:sp macro="" textlink="">
          <xdr:nvSpPr>
            <xdr:cNvPr id="1131" name="Spinner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158</xdr:row>
          <xdr:rowOff>85725</xdr:rowOff>
        </xdr:from>
        <xdr:to>
          <xdr:col>4</xdr:col>
          <xdr:colOff>161925</xdr:colOff>
          <xdr:row>160</xdr:row>
          <xdr:rowOff>47625</xdr:rowOff>
        </xdr:to>
        <xdr:sp macro="" textlink="">
          <xdr:nvSpPr>
            <xdr:cNvPr id="1132" name="Spinner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161</xdr:row>
          <xdr:rowOff>85725</xdr:rowOff>
        </xdr:from>
        <xdr:to>
          <xdr:col>4</xdr:col>
          <xdr:colOff>161925</xdr:colOff>
          <xdr:row>163</xdr:row>
          <xdr:rowOff>66675</xdr:rowOff>
        </xdr:to>
        <xdr:sp macro="" textlink="">
          <xdr:nvSpPr>
            <xdr:cNvPr id="1133" name="Spinner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647700</xdr:colOff>
          <xdr:row>168</xdr:row>
          <xdr:rowOff>95250</xdr:rowOff>
        </xdr:from>
        <xdr:to>
          <xdr:col>8</xdr:col>
          <xdr:colOff>28575</xdr:colOff>
          <xdr:row>170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DESPIDO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176</xdr:row>
          <xdr:rowOff>123825</xdr:rowOff>
        </xdr:from>
        <xdr:to>
          <xdr:col>5</xdr:col>
          <xdr:colOff>352425</xdr:colOff>
          <xdr:row>178</xdr:row>
          <xdr:rowOff>38100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178</xdr:row>
          <xdr:rowOff>114300</xdr:rowOff>
        </xdr:from>
        <xdr:to>
          <xdr:col>5</xdr:col>
          <xdr:colOff>28575</xdr:colOff>
          <xdr:row>180</xdr:row>
          <xdr:rowOff>28575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29</xdr:row>
          <xdr:rowOff>104775</xdr:rowOff>
        </xdr:from>
        <xdr:to>
          <xdr:col>4</xdr:col>
          <xdr:colOff>28575</xdr:colOff>
          <xdr:row>31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638175</xdr:colOff>
          <xdr:row>184</xdr:row>
          <xdr:rowOff>114300</xdr:rowOff>
        </xdr:from>
        <xdr:to>
          <xdr:col>8</xdr:col>
          <xdr:colOff>114300</xdr:colOff>
          <xdr:row>186</xdr:row>
          <xdr:rowOff>47625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676275</xdr:colOff>
          <xdr:row>188</xdr:row>
          <xdr:rowOff>104775</xdr:rowOff>
        </xdr:from>
        <xdr:to>
          <xdr:col>7</xdr:col>
          <xdr:colOff>276225</xdr:colOff>
          <xdr:row>190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676275</xdr:colOff>
          <xdr:row>192</xdr:row>
          <xdr:rowOff>95250</xdr:rowOff>
        </xdr:from>
        <xdr:to>
          <xdr:col>7</xdr:col>
          <xdr:colOff>209550</xdr:colOff>
          <xdr:row>194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200</xdr:row>
          <xdr:rowOff>104775</xdr:rowOff>
        </xdr:from>
        <xdr:to>
          <xdr:col>7</xdr:col>
          <xdr:colOff>333375</xdr:colOff>
          <xdr:row>202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202</xdr:row>
          <xdr:rowOff>114300</xdr:rowOff>
        </xdr:from>
        <xdr:to>
          <xdr:col>7</xdr:col>
          <xdr:colOff>171450</xdr:colOff>
          <xdr:row>204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204</xdr:row>
          <xdr:rowOff>104775</xdr:rowOff>
        </xdr:from>
        <xdr:to>
          <xdr:col>7</xdr:col>
          <xdr:colOff>180975</xdr:colOff>
          <xdr:row>206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209</xdr:row>
          <xdr:rowOff>85725</xdr:rowOff>
        </xdr:from>
        <xdr:to>
          <xdr:col>4</xdr:col>
          <xdr:colOff>161925</xdr:colOff>
          <xdr:row>211</xdr:row>
          <xdr:rowOff>66675</xdr:rowOff>
        </xdr:to>
        <xdr:sp macro="" textlink="">
          <xdr:nvSpPr>
            <xdr:cNvPr id="1154" name="Spinner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638175</xdr:colOff>
          <xdr:row>209</xdr:row>
          <xdr:rowOff>95250</xdr:rowOff>
        </xdr:from>
        <xdr:to>
          <xdr:col>8</xdr:col>
          <xdr:colOff>76200</xdr:colOff>
          <xdr:row>211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638175</xdr:colOff>
          <xdr:row>212</xdr:row>
          <xdr:rowOff>95250</xdr:rowOff>
        </xdr:from>
        <xdr:to>
          <xdr:col>8</xdr:col>
          <xdr:colOff>0</xdr:colOff>
          <xdr:row>214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V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enableFormatConditionsCalculation="0">
    <tabColor indexed="12"/>
    <pageSetUpPr fitToPage="1"/>
  </sheetPr>
  <dimension ref="A1:L274"/>
  <sheetViews>
    <sheetView showGridLines="0" tabSelected="1" workbookViewId="0">
      <selection activeCell="C6" sqref="C6:H6"/>
    </sheetView>
  </sheetViews>
  <sheetFormatPr baseColWidth="10" defaultRowHeight="11.25" outlineLevelRow="1" x14ac:dyDescent="0.2"/>
  <cols>
    <col min="1" max="1" width="12" style="671" customWidth="1"/>
    <col min="2" max="2" width="22.83203125" customWidth="1"/>
    <col min="4" max="4" width="13.5" customWidth="1"/>
    <col min="5" max="5" width="13.83203125" customWidth="1"/>
    <col min="6" max="6" width="12" customWidth="1"/>
    <col min="7" max="8" width="12.1640625" customWidth="1"/>
    <col min="9" max="9" width="12.6640625" customWidth="1"/>
    <col min="11" max="11" width="15.6640625" style="291" customWidth="1"/>
  </cols>
  <sheetData>
    <row r="1" spans="1:11" s="669" customFormat="1" x14ac:dyDescent="0.2">
      <c r="A1" s="668" t="s">
        <v>0</v>
      </c>
      <c r="B1" s="669" t="s">
        <v>1</v>
      </c>
      <c r="C1" s="669" t="s">
        <v>2</v>
      </c>
      <c r="D1" s="669" t="s">
        <v>3</v>
      </c>
      <c r="E1" s="669" t="s">
        <v>4</v>
      </c>
      <c r="F1" s="669" t="s">
        <v>5</v>
      </c>
      <c r="G1" s="669" t="s">
        <v>6</v>
      </c>
      <c r="H1" s="669" t="s">
        <v>7</v>
      </c>
      <c r="I1" s="669" t="s">
        <v>8</v>
      </c>
      <c r="J1" s="669" t="s">
        <v>9</v>
      </c>
      <c r="K1" s="712" t="s">
        <v>10</v>
      </c>
    </row>
    <row r="2" spans="1:11" x14ac:dyDescent="0.2">
      <c r="A2" s="670">
        <v>2</v>
      </c>
      <c r="B2" s="1" t="s">
        <v>11</v>
      </c>
      <c r="C2" s="2"/>
      <c r="D2" s="3"/>
      <c r="E2" s="3"/>
      <c r="F2" s="3"/>
      <c r="G2" s="3"/>
      <c r="H2" s="3"/>
      <c r="I2" s="3"/>
      <c r="J2" s="3"/>
      <c r="K2" s="713"/>
    </row>
    <row r="3" spans="1:11" x14ac:dyDescent="0.2">
      <c r="A3" s="670">
        <v>3</v>
      </c>
      <c r="B3" s="4"/>
      <c r="C3" s="4"/>
      <c r="D3" s="4"/>
      <c r="E3" s="4"/>
      <c r="F3" s="4"/>
      <c r="G3" s="4"/>
      <c r="H3" s="4"/>
      <c r="I3" s="4"/>
      <c r="J3" s="4"/>
      <c r="K3" s="714"/>
    </row>
    <row r="4" spans="1:11" x14ac:dyDescent="0.2">
      <c r="A4" s="670">
        <v>4</v>
      </c>
      <c r="B4" s="5" t="s">
        <v>12</v>
      </c>
      <c r="C4" s="734" t="s">
        <v>13</v>
      </c>
      <c r="D4" s="734"/>
      <c r="E4" s="734"/>
      <c r="F4" s="734"/>
      <c r="G4" s="734"/>
      <c r="H4" s="734"/>
      <c r="I4" s="4"/>
      <c r="J4" s="711" t="s">
        <v>14</v>
      </c>
    </row>
    <row r="5" spans="1:11" x14ac:dyDescent="0.2">
      <c r="A5" s="670">
        <v>5</v>
      </c>
      <c r="B5" s="5"/>
      <c r="C5" s="8"/>
      <c r="D5" s="8"/>
      <c r="E5" s="8"/>
      <c r="F5" s="8"/>
      <c r="G5" s="8"/>
      <c r="H5" s="4"/>
      <c r="I5" s="4"/>
      <c r="K5" s="715"/>
    </row>
    <row r="6" spans="1:11" x14ac:dyDescent="0.2">
      <c r="A6" s="670">
        <v>6</v>
      </c>
      <c r="B6" s="9" t="s">
        <v>15</v>
      </c>
      <c r="C6" s="735" t="str">
        <f>'FCAS-PROXY'!C6</f>
        <v>URBANISMO</v>
      </c>
      <c r="D6" s="736"/>
      <c r="E6" s="736"/>
      <c r="F6" s="736"/>
      <c r="G6" s="736"/>
      <c r="H6" s="736"/>
      <c r="I6" s="4"/>
      <c r="J6" s="7">
        <f>'FCAS-PROXY'!H8</f>
        <v>43074</v>
      </c>
    </row>
    <row r="7" spans="1:11" x14ac:dyDescent="0.2">
      <c r="A7" s="670">
        <v>7</v>
      </c>
      <c r="B7" s="9"/>
      <c r="C7" s="8"/>
      <c r="D7" s="8"/>
      <c r="E7" s="8"/>
      <c r="F7" s="8"/>
      <c r="G7" s="8"/>
      <c r="H7" s="10"/>
      <c r="I7" s="12"/>
      <c r="K7" s="714"/>
    </row>
    <row r="8" spans="1:11" x14ac:dyDescent="0.2">
      <c r="A8" s="670">
        <v>8</v>
      </c>
      <c r="B8" s="5" t="s">
        <v>16</v>
      </c>
      <c r="C8" s="737"/>
      <c r="D8" s="737"/>
      <c r="E8" s="737"/>
      <c r="F8" s="737"/>
      <c r="G8" s="737"/>
      <c r="H8" s="737"/>
      <c r="I8" s="4"/>
      <c r="J8" s="11">
        <f>'FCAS-PROXY'!I9</f>
        <v>0.44913194444444399</v>
      </c>
      <c r="K8" s="714"/>
    </row>
    <row r="9" spans="1:11" x14ac:dyDescent="0.2">
      <c r="A9" s="670">
        <v>9</v>
      </c>
      <c r="B9" s="4"/>
      <c r="C9" s="4"/>
      <c r="D9" s="4"/>
      <c r="E9" s="4"/>
      <c r="F9" s="4"/>
      <c r="G9" s="4"/>
      <c r="H9" s="4"/>
      <c r="I9" s="4"/>
      <c r="J9" s="4"/>
      <c r="K9" s="714"/>
    </row>
    <row r="10" spans="1:11" x14ac:dyDescent="0.2">
      <c r="A10" s="670">
        <v>10</v>
      </c>
      <c r="B10" s="1" t="s">
        <v>17</v>
      </c>
      <c r="C10" s="2"/>
      <c r="D10" s="3"/>
      <c r="E10" s="3"/>
      <c r="F10" s="3"/>
      <c r="G10" s="3"/>
      <c r="H10" s="3"/>
      <c r="I10" s="3"/>
      <c r="J10" s="3"/>
      <c r="K10" s="713"/>
    </row>
    <row r="11" spans="1:11" x14ac:dyDescent="0.2">
      <c r="A11" s="670">
        <v>11</v>
      </c>
    </row>
    <row r="12" spans="1:11" x14ac:dyDescent="0.2">
      <c r="A12" s="670">
        <v>12</v>
      </c>
      <c r="B12" s="18" t="s">
        <v>18</v>
      </c>
      <c r="C12" s="587">
        <f>'FCAS-PROXY'!D12</f>
        <v>1</v>
      </c>
      <c r="J12" s="171" t="s">
        <v>19</v>
      </c>
      <c r="K12" s="589">
        <f>'FCAS-PROXY'!D13</f>
        <v>1000</v>
      </c>
    </row>
    <row r="13" spans="1:11" x14ac:dyDescent="0.2">
      <c r="A13" s="670">
        <v>13</v>
      </c>
      <c r="J13" s="671">
        <v>0</v>
      </c>
    </row>
    <row r="14" spans="1:11" x14ac:dyDescent="0.2">
      <c r="A14" s="670">
        <v>14</v>
      </c>
      <c r="B14" s="18" t="s">
        <v>20</v>
      </c>
      <c r="C14" s="19"/>
      <c r="D14" s="587">
        <f>'FCAS-PROXY'!D14</f>
        <v>1</v>
      </c>
      <c r="G14" s="171" t="s">
        <v>21</v>
      </c>
      <c r="H14" s="587">
        <f>'FCAS-PROXY'!D15</f>
        <v>14</v>
      </c>
      <c r="I14" s="4"/>
      <c r="J14" s="728">
        <v>0</v>
      </c>
      <c r="K14" s="716"/>
    </row>
    <row r="15" spans="1:11" x14ac:dyDescent="0.2">
      <c r="A15" s="670">
        <v>15</v>
      </c>
      <c r="G15" s="18"/>
      <c r="J15" s="671">
        <v>0</v>
      </c>
    </row>
    <row r="16" spans="1:11" x14ac:dyDescent="0.2">
      <c r="A16" s="670">
        <v>16</v>
      </c>
      <c r="B16" s="18"/>
      <c r="D16" s="19"/>
      <c r="I16" s="171" t="s">
        <v>22</v>
      </c>
      <c r="K16" s="729">
        <f>'FCAS-PROXY'!D16</f>
        <v>2</v>
      </c>
    </row>
    <row r="17" spans="1:11" x14ac:dyDescent="0.2">
      <c r="A17" s="670">
        <v>17</v>
      </c>
      <c r="E17" s="14" t="s">
        <v>23</v>
      </c>
    </row>
    <row r="18" spans="1:11" x14ac:dyDescent="0.2">
      <c r="A18" s="670">
        <v>18</v>
      </c>
      <c r="B18" s="512"/>
      <c r="C18" s="513" t="s">
        <v>24</v>
      </c>
      <c r="D18" s="588">
        <f>'FCAS-PROXY'!H17</f>
        <v>43010</v>
      </c>
      <c r="E18" s="590">
        <f>'FCAS-PROXY'!D18</f>
        <v>365</v>
      </c>
      <c r="F18" s="512"/>
      <c r="G18" s="512"/>
      <c r="H18" s="514" t="s">
        <v>25</v>
      </c>
      <c r="I18" s="515">
        <f>(D18+E18)</f>
        <v>43375</v>
      </c>
      <c r="J18" s="512"/>
      <c r="K18" s="717"/>
    </row>
    <row r="19" spans="1:11" ht="13.5" customHeight="1" x14ac:dyDescent="0.2">
      <c r="A19" s="670">
        <v>19</v>
      </c>
      <c r="D19" s="14" t="str">
        <f>VLOOKUP(WEEKDAY(FIPROY,1),TABLAS!D50:E56,2)</f>
        <v>LUNES</v>
      </c>
      <c r="I19" s="14" t="str">
        <f>VLOOKUP(WEEKDAY(FFPROY,1),TABLAS!D50:E56,2)</f>
        <v>MARTES</v>
      </c>
    </row>
    <row r="20" spans="1:11" ht="11.25" customHeight="1" x14ac:dyDescent="0.2">
      <c r="A20" s="670">
        <v>20</v>
      </c>
      <c r="B20" s="475" t="s">
        <v>26</v>
      </c>
      <c r="C20" s="476">
        <f>H267</f>
        <v>17.768000000000001</v>
      </c>
      <c r="D20" s="477"/>
      <c r="E20" s="478"/>
      <c r="F20" s="478" t="s">
        <v>27</v>
      </c>
      <c r="G20" s="476">
        <f>H269</f>
        <v>15.7934</v>
      </c>
      <c r="H20" s="479"/>
      <c r="I20" s="478"/>
      <c r="J20" s="478" t="s">
        <v>28</v>
      </c>
      <c r="K20" s="730">
        <f>H271</f>
        <v>65.628699999999995</v>
      </c>
    </row>
    <row r="21" spans="1:11" ht="5.25" customHeight="1" x14ac:dyDescent="0.2">
      <c r="A21" s="670">
        <v>21</v>
      </c>
      <c r="B21" s="468"/>
      <c r="C21" s="469"/>
      <c r="D21" s="470"/>
      <c r="E21" s="468"/>
      <c r="F21" s="469"/>
      <c r="G21" s="471"/>
      <c r="H21" s="471"/>
      <c r="I21" s="468"/>
      <c r="J21" s="469"/>
      <c r="K21" s="718"/>
    </row>
    <row r="22" spans="1:11" x14ac:dyDescent="0.2">
      <c r="A22" s="670">
        <v>22</v>
      </c>
      <c r="B22" s="1" t="s">
        <v>29</v>
      </c>
      <c r="C22" s="2"/>
      <c r="D22" s="3"/>
      <c r="E22" s="3"/>
      <c r="F22" s="3"/>
      <c r="G22" s="3"/>
      <c r="H22" s="3"/>
      <c r="I22" s="3"/>
      <c r="J22" s="3"/>
      <c r="K22" s="713"/>
    </row>
    <row r="23" spans="1:11" ht="7.5" customHeight="1" x14ac:dyDescent="0.2">
      <c r="A23" s="670">
        <v>23</v>
      </c>
    </row>
    <row r="24" spans="1:11" x14ac:dyDescent="0.2">
      <c r="A24" s="670">
        <v>24</v>
      </c>
      <c r="C24" s="200" t="s">
        <v>30</v>
      </c>
      <c r="D24" s="591">
        <f>'FCAS-PROXY'!D24</f>
        <v>8</v>
      </c>
      <c r="E24" s="591">
        <f>'FCAS-PROXY'!E24</f>
        <v>16</v>
      </c>
      <c r="F24" s="591">
        <f>'FCAS-PROXY'!F24</f>
        <v>24</v>
      </c>
    </row>
    <row r="25" spans="1:11" ht="11.25" customHeight="1" x14ac:dyDescent="0.2">
      <c r="A25" s="670">
        <v>25</v>
      </c>
      <c r="D25" s="738" t="s">
        <v>31</v>
      </c>
      <c r="E25" s="739"/>
      <c r="F25" s="740"/>
      <c r="H25" s="286" t="s">
        <v>32</v>
      </c>
      <c r="I25" s="25"/>
      <c r="J25" s="25"/>
      <c r="K25" s="719"/>
    </row>
    <row r="26" spans="1:11" ht="11.25" customHeight="1" x14ac:dyDescent="0.2">
      <c r="A26" s="670">
        <v>26</v>
      </c>
      <c r="C26" s="161"/>
      <c r="D26" s="13" t="s">
        <v>33</v>
      </c>
      <c r="E26" s="13" t="s">
        <v>34</v>
      </c>
      <c r="F26" s="13" t="s">
        <v>35</v>
      </c>
      <c r="G26" s="388" t="s">
        <v>36</v>
      </c>
      <c r="H26" s="286" t="s">
        <v>37</v>
      </c>
      <c r="I26" s="25"/>
      <c r="J26" s="25"/>
      <c r="K26" s="720"/>
    </row>
    <row r="27" spans="1:11" ht="11.25" customHeight="1" x14ac:dyDescent="0.2">
      <c r="A27" s="670">
        <v>27</v>
      </c>
      <c r="C27" s="18" t="s">
        <v>38</v>
      </c>
      <c r="D27" s="592">
        <f>'FCAS-PROXY'!D25</f>
        <v>1</v>
      </c>
      <c r="E27" s="592">
        <f>'FCAS-PROXY'!E25</f>
        <v>0</v>
      </c>
      <c r="F27" s="592">
        <f>'FCAS-PROXY'!F25</f>
        <v>0</v>
      </c>
      <c r="G27" s="13">
        <f>SUM(D27:F27)</f>
        <v>1</v>
      </c>
      <c r="H27" s="286" t="s">
        <v>39</v>
      </c>
      <c r="I27" s="25"/>
      <c r="J27" s="25"/>
      <c r="K27" s="720"/>
    </row>
    <row r="28" spans="1:11" ht="7.5" customHeight="1" x14ac:dyDescent="0.2">
      <c r="A28" s="670">
        <v>28</v>
      </c>
      <c r="C28" s="18"/>
    </row>
    <row r="29" spans="1:11" x14ac:dyDescent="0.2">
      <c r="A29" s="670">
        <v>29</v>
      </c>
      <c r="B29" s="1" t="s">
        <v>40</v>
      </c>
      <c r="C29" s="2"/>
      <c r="D29" s="3"/>
      <c r="E29" s="3"/>
      <c r="F29" s="3"/>
      <c r="G29" s="3"/>
      <c r="H29" s="3"/>
      <c r="I29" s="3"/>
      <c r="J29" s="3"/>
      <c r="K29" s="713"/>
    </row>
    <row r="30" spans="1:11" x14ac:dyDescent="0.2">
      <c r="A30" s="670">
        <v>30</v>
      </c>
    </row>
    <row r="31" spans="1:11" x14ac:dyDescent="0.2">
      <c r="A31" s="670">
        <v>31</v>
      </c>
      <c r="C31" s="18" t="s">
        <v>41</v>
      </c>
      <c r="D31" s="594">
        <f>'FCAS-PROXY'!D28</f>
        <v>1</v>
      </c>
      <c r="F31" s="27" t="s">
        <v>42</v>
      </c>
      <c r="G31" s="27" t="s">
        <v>43</v>
      </c>
      <c r="H31" s="27" t="s">
        <v>44</v>
      </c>
      <c r="I31" s="27" t="s">
        <v>36</v>
      </c>
      <c r="J31" s="27" t="s">
        <v>45</v>
      </c>
      <c r="K31" s="721" t="s">
        <v>46</v>
      </c>
    </row>
    <row r="32" spans="1:11" x14ac:dyDescent="0.2">
      <c r="A32" s="670">
        <v>32</v>
      </c>
      <c r="F32" s="28" t="s">
        <v>43</v>
      </c>
      <c r="G32" s="28" t="s">
        <v>47</v>
      </c>
      <c r="H32" s="28" t="s">
        <v>48</v>
      </c>
      <c r="I32" s="28" t="s">
        <v>48</v>
      </c>
      <c r="J32" s="28" t="s">
        <v>43</v>
      </c>
      <c r="K32" s="722" t="s">
        <v>43</v>
      </c>
    </row>
    <row r="33" spans="1:11" x14ac:dyDescent="0.2">
      <c r="A33" s="670">
        <v>33</v>
      </c>
    </row>
    <row r="34" spans="1:11" x14ac:dyDescent="0.2">
      <c r="A34" s="670">
        <v>34</v>
      </c>
      <c r="B34" s="30">
        <v>1</v>
      </c>
      <c r="D34" s="595">
        <f>'FCAS-PROXY'!D31</f>
        <v>49</v>
      </c>
      <c r="F34" s="596">
        <f>'FCAS-PROXY'!E31</f>
        <v>1</v>
      </c>
      <c r="G34" s="597">
        <f>'FCAS-PROXY'!F31</f>
        <v>1</v>
      </c>
      <c r="H34" s="61">
        <f>IF(D34=TABSAL!$B$110,((VLOOKUP(D34,TABSAL!$B$8:$AZ$110,TABSAL!$AZ$6)*$D$27)+(VLOOKUP(D34,TABSAL!$B$8:$AZ$110,TABSAL!$AZ$6)*(1+TABLAS!$F$43)*$E$27)+(VLOOKUP(D34,TABSAL!$B$8:$AZ$110,TABSAL!$AZ$6)*(1+TABLAS!$F$44)*$F$27))/($D$27+$E$27+$F$27),IF($C$12=1,VLOOKUP(D34,TABSAL!$B$8:'TABSAL'!$AZ$110,TABSAL!$AZ$6),VLOOKUP(D34,TABSAL!$B$8:$AZ$110,TABSAL!$AZ$6)*(1+TABLAS!$J$8)))</f>
        <v>10106.049999999999</v>
      </c>
      <c r="I34" s="61">
        <f>(F34*H34)</f>
        <v>10106.049999999999</v>
      </c>
      <c r="J34" s="14">
        <f>IF(D34=103,F34,0)</f>
        <v>0</v>
      </c>
      <c r="K34" s="480">
        <f>(VLOOKUP(D34,TABSAL!$B$8:$BA$110,TABSAL!$BA$6)*F34)</f>
        <v>0</v>
      </c>
    </row>
    <row r="35" spans="1:11" x14ac:dyDescent="0.2">
      <c r="A35" s="670">
        <v>35</v>
      </c>
      <c r="H35" s="50"/>
    </row>
    <row r="36" spans="1:11" x14ac:dyDescent="0.2">
      <c r="A36" s="670">
        <v>36</v>
      </c>
      <c r="B36" s="30">
        <v>2</v>
      </c>
      <c r="D36" s="595">
        <f>'FCAS-PROXY'!D32</f>
        <v>2</v>
      </c>
      <c r="F36" s="596">
        <f>'FCAS-PROXY'!E32</f>
        <v>2</v>
      </c>
      <c r="G36" s="597">
        <f>'FCAS-PROXY'!F32</f>
        <v>1</v>
      </c>
      <c r="H36" s="61">
        <f>IF(D36=TABSAL!$B$110,((VLOOKUP(D36,TABSAL!$B$8:$AZ$110,TABSAL!$AZ$6)*$D$27)+(VLOOKUP(D36,TABSAL!$B$8:$AZ$110,TABSAL!$AZ$6)*(1+TABLAS!$F$43)*$E$27)+(VLOOKUP(D36,TABSAL!$B$8:$AZ$110,TABSAL!$AZ$6)*(1+TABLAS!$F$44)*$F$27))/($D$27+$E$27+$F$27),IF($C$12=1,VLOOKUP(D36,TABSAL!$B$8:'TABSAL'!$AZ$110,TABSAL!$AZ$6),VLOOKUP(D36,TABSAL!$B$8:$AZ$110,TABSAL!$AZ$6)*(1+TABLAS!$J$8)))</f>
        <v>7922.28</v>
      </c>
      <c r="I36" s="61">
        <f>(F36*H36)</f>
        <v>15844.56</v>
      </c>
      <c r="J36" s="14">
        <f>IF(D36=103,F36,0)</f>
        <v>0</v>
      </c>
      <c r="K36" s="480">
        <f>(VLOOKUP(D36,TABSAL!$B$8:$BA$110,TABSAL!$BA$6)*F36)</f>
        <v>0</v>
      </c>
    </row>
    <row r="37" spans="1:11" x14ac:dyDescent="0.2">
      <c r="A37" s="670">
        <v>37</v>
      </c>
      <c r="B37" s="30"/>
      <c r="H37" s="50"/>
    </row>
    <row r="38" spans="1:11" x14ac:dyDescent="0.2">
      <c r="A38" s="670">
        <v>38</v>
      </c>
      <c r="B38" s="30">
        <v>3</v>
      </c>
      <c r="D38" s="595">
        <f>'FCAS-PROXY'!D33</f>
        <v>12</v>
      </c>
      <c r="F38" s="596">
        <f>'FCAS-PROXY'!E33</f>
        <v>2</v>
      </c>
      <c r="G38" s="597">
        <f>'FCAS-PROXY'!F33</f>
        <v>1</v>
      </c>
      <c r="H38" s="61">
        <f>IF(D38=TABSAL!$B$110,((VLOOKUP(D38,TABSAL!$B$8:$AZ$110,TABSAL!$AZ$6)*$D$27)+(VLOOKUP(D38,TABSAL!$B$8:$AZ$110,TABSAL!$AZ$6)*(1+TABLAS!$F$43)*$E$27)+(VLOOKUP(D38,TABSAL!$B$8:$AZ$110,TABSAL!$AZ$6)*(1+TABLAS!$F$44)*$F$27))/($D$27+$E$27+$F$27),IF($C$12=1,VLOOKUP(D38,TABSAL!$B$8:'TABSAL'!$AZ$110,TABSAL!$AZ$6),VLOOKUP(D38,TABSAL!$B$8:$AZ$110,TABSAL!$AZ$6)*(1+TABLAS!$J$8)))</f>
        <v>7922.28</v>
      </c>
      <c r="I38" s="61">
        <f>(F38*H38)</f>
        <v>15844.56</v>
      </c>
      <c r="J38" s="14">
        <f>IF(D38=103,F38,0)</f>
        <v>0</v>
      </c>
      <c r="K38" s="480">
        <f>(VLOOKUP(D38,TABSAL!$B$8:$BA$110,TABSAL!$BA$6)*F38)</f>
        <v>0</v>
      </c>
    </row>
    <row r="39" spans="1:11" x14ac:dyDescent="0.2">
      <c r="A39" s="670">
        <v>39</v>
      </c>
      <c r="B39" s="30"/>
      <c r="H39" s="50"/>
    </row>
    <row r="40" spans="1:11" x14ac:dyDescent="0.2">
      <c r="A40" s="670">
        <v>40</v>
      </c>
      <c r="B40" s="30">
        <v>4</v>
      </c>
      <c r="D40" s="595">
        <f>'FCAS-PROXY'!D34</f>
        <v>31</v>
      </c>
      <c r="F40" s="596">
        <f>'FCAS-PROXY'!E34</f>
        <v>2</v>
      </c>
      <c r="G40" s="597">
        <f>'FCAS-PROXY'!F34</f>
        <v>1</v>
      </c>
      <c r="H40" s="61">
        <f>IF(D40=TABSAL!$B$110,((VLOOKUP(D40,TABSAL!$B$8:$AZ$110,TABSAL!$AZ$6)*$D$27)+(VLOOKUP(D40,TABSAL!$B$8:$AZ$110,TABSAL!$AZ$6)*(1+TABLAS!$F$43)*$E$27)+(VLOOKUP(D40,TABSAL!$B$8:$AZ$110,TABSAL!$AZ$6)*(1+TABLAS!$F$44)*$F$27))/($D$27+$E$27+$F$27),IF($C$12=1,VLOOKUP(D40,TABSAL!$B$8:'TABSAL'!$AZ$110,TABSAL!$AZ$6),VLOOKUP(D40,TABSAL!$B$8:$AZ$110,TABSAL!$AZ$6)*(1+TABLAS!$J$8)))</f>
        <v>7922.28</v>
      </c>
      <c r="I40" s="61">
        <f>(F40*H40)</f>
        <v>15844.56</v>
      </c>
      <c r="J40" s="14">
        <f>IF(D40=103,F40,0)</f>
        <v>0</v>
      </c>
      <c r="K40" s="480">
        <f>(VLOOKUP(D40,TABSAL!$B$8:$BA$110,TABSAL!$BA$6)*F40)</f>
        <v>0</v>
      </c>
    </row>
    <row r="41" spans="1:11" x14ac:dyDescent="0.2">
      <c r="A41" s="670">
        <v>41</v>
      </c>
      <c r="B41" s="30"/>
      <c r="H41" s="50"/>
    </row>
    <row r="42" spans="1:11" x14ac:dyDescent="0.2">
      <c r="A42" s="670">
        <v>42</v>
      </c>
      <c r="B42" s="30">
        <v>5</v>
      </c>
      <c r="D42" s="595">
        <f>'FCAS-PROXY'!D35</f>
        <v>73</v>
      </c>
      <c r="F42" s="596">
        <f>'FCAS-PROXY'!E35</f>
        <v>1</v>
      </c>
      <c r="G42" s="597">
        <f>'FCAS-PROXY'!F35</f>
        <v>1</v>
      </c>
      <c r="H42" s="61">
        <f>IF(D42=TABSAL!$B$110,((VLOOKUP(D42,TABSAL!$B$8:$AZ$110,TABSAL!$AZ$6)*$D$27)+(VLOOKUP(D42,TABSAL!$B$8:$AZ$110,TABSAL!$AZ$6)*(1+TABLAS!$F$43)*$E$27)+(VLOOKUP(D42,TABSAL!$B$8:$AZ$110,TABSAL!$AZ$6)*(1+TABLAS!$F$44)*$F$27))/($D$27+$E$27+$F$27),IF($C$12=1,VLOOKUP(D42,TABSAL!$B$8:'TABSAL'!$AZ$110,TABSAL!$AZ$6),VLOOKUP(D42,TABSAL!$B$8:$AZ$110,TABSAL!$AZ$6)*(1+TABLAS!$J$8)))</f>
        <v>8261.2099999999991</v>
      </c>
      <c r="I42" s="61">
        <f>(F42*H42)</f>
        <v>8261.2099999999991</v>
      </c>
      <c r="J42" s="14">
        <f>IF(D42=103,F42,0)</f>
        <v>0</v>
      </c>
      <c r="K42" s="480">
        <f>(VLOOKUP(D42,TABSAL!$B$8:$BA$110,TABSAL!$BA$6)*F42)</f>
        <v>1</v>
      </c>
    </row>
    <row r="43" spans="1:11" x14ac:dyDescent="0.2">
      <c r="A43" s="670">
        <v>43</v>
      </c>
      <c r="B43" s="30"/>
      <c r="H43" s="50"/>
    </row>
    <row r="44" spans="1:11" x14ac:dyDescent="0.2">
      <c r="A44" s="670">
        <v>44</v>
      </c>
      <c r="B44" s="30">
        <v>6</v>
      </c>
      <c r="D44" s="595">
        <f>'FCAS-PROXY'!D36</f>
        <v>81</v>
      </c>
      <c r="F44" s="596">
        <f>'FCAS-PROXY'!E36</f>
        <v>2</v>
      </c>
      <c r="G44" s="597">
        <f>'FCAS-PROXY'!F36</f>
        <v>1</v>
      </c>
      <c r="H44" s="61">
        <f>IF(D44=TABSAL!$B$110,((VLOOKUP(D44,TABSAL!$B$8:$AZ$110,TABSAL!$AZ$6)*$D$27)+(VLOOKUP(D44,TABSAL!$B$8:$AZ$110,TABSAL!$AZ$6)*(1+TABLAS!$F$43)*$E$27)+(VLOOKUP(D44,TABSAL!$B$8:$AZ$110,TABSAL!$AZ$6)*(1+TABLAS!$F$44)*$F$27))/($D$27+$E$27+$F$27),IF($C$12=1,VLOOKUP(D44,TABSAL!$B$8:'TABSAL'!$AZ$110,TABSAL!$AZ$6),VLOOKUP(D44,TABSAL!$B$8:$AZ$110,TABSAL!$AZ$6)*(1+TABLAS!$J$8)))</f>
        <v>10106.049999999999</v>
      </c>
      <c r="I44" s="61">
        <f>(F44*H44)</f>
        <v>20212.099999999999</v>
      </c>
      <c r="J44" s="14">
        <f>IF(D44=103,F44,0)</f>
        <v>0</v>
      </c>
      <c r="K44" s="480">
        <f>(VLOOKUP(D44,TABSAL!$B$8:$BA$110,TABSAL!$BA$6)*F44)</f>
        <v>2</v>
      </c>
    </row>
    <row r="45" spans="1:11" x14ac:dyDescent="0.2">
      <c r="A45" s="670">
        <v>45</v>
      </c>
      <c r="B45" s="30"/>
      <c r="H45" s="50"/>
    </row>
    <row r="46" spans="1:11" x14ac:dyDescent="0.2">
      <c r="A46" s="670">
        <v>46</v>
      </c>
      <c r="B46" s="30">
        <v>7</v>
      </c>
      <c r="D46" s="595">
        <f>'FCAS-PROXY'!D37</f>
        <v>71</v>
      </c>
      <c r="F46" s="596">
        <f>'FCAS-PROXY'!E37</f>
        <v>10</v>
      </c>
      <c r="G46" s="597">
        <f>'FCAS-PROXY'!F37</f>
        <v>1</v>
      </c>
      <c r="H46" s="61">
        <f>IF(D46=TABSAL!$B$110,((VLOOKUP(D46,TABSAL!$B$8:$AZ$110,TABSAL!$AZ$6)*$D$27)+(VLOOKUP(D46,TABSAL!$B$8:$AZ$110,TABSAL!$AZ$6)*(1+TABLAS!$F$43)*$E$27)+(VLOOKUP(D46,TABSAL!$B$8:$AZ$110,TABSAL!$AZ$6)*(1+TABLAS!$F$44)*$F$27))/($D$27+$E$27+$F$27),IF($C$12=1,VLOOKUP(D46,TABSAL!$B$8:'TABSAL'!$AZ$110,TABSAL!$AZ$6),VLOOKUP(D46,TABSAL!$B$8:$AZ$110,TABSAL!$AZ$6)*(1+TABLAS!$J$8)))</f>
        <v>10106.049999999999</v>
      </c>
      <c r="I46" s="61">
        <f>(F46*H46)</f>
        <v>101060.5</v>
      </c>
      <c r="J46" s="14">
        <f>IF(D46=103,F46,0)</f>
        <v>0</v>
      </c>
      <c r="K46" s="480">
        <f>(VLOOKUP(D46,TABSAL!$B$8:$BA$110,TABSAL!$BA$6)*F46)</f>
        <v>10</v>
      </c>
    </row>
    <row r="47" spans="1:11" x14ac:dyDescent="0.2">
      <c r="A47" s="670">
        <v>47</v>
      </c>
      <c r="B47" s="30"/>
      <c r="H47" s="50"/>
    </row>
    <row r="48" spans="1:11" x14ac:dyDescent="0.2">
      <c r="A48" s="670">
        <v>48</v>
      </c>
      <c r="B48" s="30">
        <v>8</v>
      </c>
      <c r="D48" s="595">
        <f>'FCAS-PROXY'!D38</f>
        <v>59</v>
      </c>
      <c r="F48" s="596">
        <f>'FCAS-PROXY'!E38</f>
        <v>1</v>
      </c>
      <c r="G48" s="597">
        <f>'FCAS-PROXY'!F38</f>
        <v>1</v>
      </c>
      <c r="H48" s="61">
        <f>IF(D48=TABSAL!$B$110,((VLOOKUP(D48,TABSAL!$B$8:$AZ$110,TABSAL!$AZ$6)*$D$27)+(VLOOKUP(D48,TABSAL!$B$8:$AZ$110,TABSAL!$AZ$6)*(1+TABLAS!$F$43)*$E$27)+(VLOOKUP(D48,TABSAL!$B$8:$AZ$110,TABSAL!$AZ$6)*(1+TABLAS!$F$44)*$F$27))/($D$27+$E$27+$F$27),IF($C$12=1,VLOOKUP(D48,TABSAL!$B$8:'TABSAL'!$AZ$110,TABSAL!$AZ$6),VLOOKUP(D48,TABSAL!$B$8:$AZ$110,TABSAL!$AZ$6)*(1+TABLAS!$J$8)))</f>
        <v>7083.28</v>
      </c>
      <c r="I48" s="61">
        <f>(F48*H48)</f>
        <v>7083.28</v>
      </c>
      <c r="J48" s="14">
        <f>IF(D48=103,F48,0)</f>
        <v>0</v>
      </c>
      <c r="K48" s="480">
        <f>(VLOOKUP(D48,TABSAL!$B$8:$BA$110,TABSAL!$BA$6)*F48)</f>
        <v>0</v>
      </c>
    </row>
    <row r="49" spans="1:11" x14ac:dyDescent="0.2">
      <c r="A49" s="670">
        <v>49</v>
      </c>
      <c r="B49" s="30"/>
      <c r="H49" s="50"/>
    </row>
    <row r="50" spans="1:11" x14ac:dyDescent="0.2">
      <c r="A50" s="670">
        <v>50</v>
      </c>
      <c r="B50" s="30">
        <v>9</v>
      </c>
      <c r="D50" s="595">
        <f>'FCAS-PROXY'!D39</f>
        <v>103</v>
      </c>
      <c r="F50" s="596">
        <f>'FCAS-PROXY'!E39</f>
        <v>1</v>
      </c>
      <c r="G50" s="597">
        <f>'FCAS-PROXY'!F39</f>
        <v>0</v>
      </c>
      <c r="H50" s="61">
        <f>IF(D50=TABSAL!$B$110,((VLOOKUP(D50,TABSAL!$B$8:$AZ$110,TABSAL!$AZ$6)*$D$27)+(VLOOKUP(D50,TABSAL!$B$8:$AZ$110,TABSAL!$AZ$6)*(1+TABLAS!$F$43)*$E$27)+(VLOOKUP(D50,TABSAL!$B$8:$AZ$110,TABSAL!$AZ$6)*(1+TABLAS!$F$44)*$F$27))/($D$27+$E$27+$F$27),IF($C$12=1,VLOOKUP(D50,TABSAL!$B$8:'TABSAL'!$AZ$110,TABSAL!$AZ$6),VLOOKUP(D50,TABSAL!$B$8:$AZ$110,TABSAL!$AZ$6)*(1+TABLAS!$J$8)))</f>
        <v>5916.92</v>
      </c>
      <c r="I50" s="61">
        <f>(F50*H50)</f>
        <v>5916.92</v>
      </c>
      <c r="J50" s="14">
        <f>IF(D50=103,F50,0)</f>
        <v>1</v>
      </c>
      <c r="K50" s="480">
        <f>(VLOOKUP(D50,TABSAL!$B$8:$BA$110,TABSAL!$BA$6)*F50)</f>
        <v>0</v>
      </c>
    </row>
    <row r="51" spans="1:11" x14ac:dyDescent="0.2">
      <c r="A51" s="670">
        <v>51</v>
      </c>
      <c r="B51" s="30"/>
      <c r="H51" s="50"/>
    </row>
    <row r="52" spans="1:11" x14ac:dyDescent="0.2">
      <c r="A52" s="670">
        <v>52</v>
      </c>
      <c r="B52" s="30">
        <v>10</v>
      </c>
      <c r="D52" s="595">
        <f>'FCAS-PROXY'!D40</f>
        <v>67</v>
      </c>
      <c r="F52" s="596">
        <f>'FCAS-PROXY'!E40</f>
        <v>28</v>
      </c>
      <c r="G52" s="597">
        <f>'FCAS-PROXY'!F40</f>
        <v>1</v>
      </c>
      <c r="H52" s="61">
        <f>IF(D52=TABSAL!$B$110,((VLOOKUP(D52,TABSAL!$B$8:$AZ$110,TABSAL!$AZ$6)*$D$27)+(VLOOKUP(D52,TABSAL!$B$8:$AZ$110,TABSAL!$AZ$6)*(1+TABLAS!$F$43)*$E$27)+(VLOOKUP(D52,TABSAL!$B$8:$AZ$110,TABSAL!$AZ$6)*(1+TABLAS!$F$44)*$F$27))/($D$27+$E$27+$F$27),IF($C$12=1,VLOOKUP(D52,TABSAL!$B$8:'TABSAL'!$AZ$110,TABSAL!$AZ$6),VLOOKUP(D52,TABSAL!$B$8:$AZ$110,TABSAL!$AZ$6)*(1+TABLAS!$J$8)))</f>
        <v>5916.92</v>
      </c>
      <c r="I52" s="61">
        <f>(F52*H52)</f>
        <v>165673.76</v>
      </c>
      <c r="J52" s="14">
        <f>IF(D52=103,F52,0)</f>
        <v>0</v>
      </c>
      <c r="K52" s="480">
        <f>(VLOOKUP(D52,TABSAL!$B$8:$BA$110,TABSAL!$BA$6)*F52)</f>
        <v>0</v>
      </c>
    </row>
    <row r="53" spans="1:11" x14ac:dyDescent="0.2">
      <c r="A53" s="670">
        <v>53</v>
      </c>
      <c r="B53" s="30"/>
    </row>
    <row r="54" spans="1:11" x14ac:dyDescent="0.2">
      <c r="A54" s="670">
        <v>54</v>
      </c>
      <c r="B54" s="54"/>
      <c r="C54" s="59"/>
      <c r="D54" s="59"/>
      <c r="E54" s="59"/>
      <c r="F54" s="420">
        <f>SUM(F34:F52)</f>
        <v>50</v>
      </c>
      <c r="G54" s="421">
        <f>SUM(G34:G52)</f>
        <v>9</v>
      </c>
      <c r="H54" s="59"/>
      <c r="I54" s="62">
        <f>SUM(I34:I52)</f>
        <v>365847.5</v>
      </c>
      <c r="J54" s="421">
        <f>SUM(J34:J52)</f>
        <v>1</v>
      </c>
      <c r="K54" s="421">
        <f>SUM(K34:K52)</f>
        <v>13</v>
      </c>
    </row>
    <row r="55" spans="1:11" x14ac:dyDescent="0.2">
      <c r="A55" s="670">
        <v>55</v>
      </c>
      <c r="B55" s="30"/>
    </row>
    <row r="56" spans="1:11" x14ac:dyDescent="0.2">
      <c r="A56" s="670">
        <v>56</v>
      </c>
      <c r="B56" s="1"/>
      <c r="C56" s="2"/>
      <c r="D56" s="3"/>
      <c r="E56" s="3"/>
      <c r="F56" s="3"/>
      <c r="G56" s="64" t="s">
        <v>49</v>
      </c>
      <c r="H56" s="65">
        <f>ROUND((I54/TDT),2)</f>
        <v>7316.95</v>
      </c>
      <c r="I56" s="63" t="s">
        <v>50</v>
      </c>
      <c r="J56" s="3"/>
      <c r="K56" s="713"/>
    </row>
    <row r="57" spans="1:11" x14ac:dyDescent="0.2">
      <c r="A57" s="670">
        <v>57</v>
      </c>
      <c r="B57" s="30"/>
    </row>
    <row r="58" spans="1:11" x14ac:dyDescent="0.2">
      <c r="A58" s="670">
        <v>58</v>
      </c>
      <c r="B58" s="1" t="s">
        <v>51</v>
      </c>
      <c r="C58" s="2"/>
      <c r="D58" s="3"/>
      <c r="E58" s="3"/>
      <c r="F58" s="3"/>
      <c r="G58" s="3"/>
      <c r="H58" s="3"/>
      <c r="I58" s="3"/>
      <c r="J58" s="3"/>
      <c r="K58" s="713"/>
    </row>
    <row r="59" spans="1:11" x14ac:dyDescent="0.2">
      <c r="A59" s="670">
        <v>59</v>
      </c>
      <c r="B59" s="165"/>
      <c r="C59" s="166"/>
      <c r="D59" s="167"/>
      <c r="E59" s="167"/>
      <c r="F59" s="167"/>
      <c r="G59" s="167"/>
      <c r="H59" s="167"/>
      <c r="I59" s="167"/>
      <c r="J59" s="167"/>
      <c r="K59" s="723"/>
    </row>
    <row r="60" spans="1:11" x14ac:dyDescent="0.2">
      <c r="A60" s="670">
        <v>60</v>
      </c>
      <c r="C60" s="168" t="s">
        <v>52</v>
      </c>
      <c r="D60" s="169">
        <f>ROUND((F60/12),1)</f>
        <v>1</v>
      </c>
      <c r="E60" s="167" t="s">
        <v>53</v>
      </c>
      <c r="F60" s="169">
        <f>PERIODOS!$J$41</f>
        <v>12</v>
      </c>
      <c r="G60" s="167" t="s">
        <v>54</v>
      </c>
      <c r="H60" s="169">
        <f>PERIODOS!$J$42</f>
        <v>52</v>
      </c>
      <c r="I60" s="167" t="s">
        <v>55</v>
      </c>
      <c r="J60" s="169">
        <f>PERIODOS!$J$40</f>
        <v>365</v>
      </c>
      <c r="K60" s="723" t="s">
        <v>56</v>
      </c>
    </row>
    <row r="61" spans="1:11" x14ac:dyDescent="0.2">
      <c r="A61" s="670">
        <v>61</v>
      </c>
      <c r="B61" s="165"/>
      <c r="C61" s="166"/>
      <c r="D61" s="167"/>
      <c r="E61" s="167"/>
      <c r="F61" s="167"/>
      <c r="G61" s="167"/>
      <c r="H61" s="167"/>
      <c r="I61" s="167"/>
      <c r="J61" s="167"/>
      <c r="K61" s="723"/>
    </row>
    <row r="62" spans="1:11" x14ac:dyDescent="0.2">
      <c r="A62" s="670">
        <v>62</v>
      </c>
      <c r="C62" s="18" t="s">
        <v>57</v>
      </c>
      <c r="D62" s="587">
        <f>'FCAS-PROXY'!D43</f>
        <v>1</v>
      </c>
      <c r="H62" s="174" t="s">
        <v>58</v>
      </c>
      <c r="I62" s="13">
        <f>ROUND((PERIODOS!$J$43)*(IF(D62=1,1,1)),0)</f>
        <v>52</v>
      </c>
    </row>
    <row r="63" spans="1:11" x14ac:dyDescent="0.2">
      <c r="A63" s="670">
        <v>63</v>
      </c>
      <c r="C63" s="14"/>
      <c r="D63" s="50"/>
      <c r="E63" s="50"/>
      <c r="F63" s="50"/>
      <c r="G63" s="50"/>
      <c r="H63" s="50"/>
    </row>
    <row r="64" spans="1:11" x14ac:dyDescent="0.2">
      <c r="A64" s="670">
        <v>64</v>
      </c>
      <c r="D64" s="172" t="s">
        <v>59</v>
      </c>
      <c r="E64" s="197">
        <f>ROUND(PERIODOS!$J$45,1)</f>
        <v>11.3</v>
      </c>
      <c r="H64" s="173" t="s">
        <v>60</v>
      </c>
      <c r="I64" s="13">
        <f>ROUND(PERIODOS!$J$44,0)</f>
        <v>53</v>
      </c>
    </row>
    <row r="65" spans="1:11" x14ac:dyDescent="0.2">
      <c r="A65" s="670">
        <v>65</v>
      </c>
    </row>
    <row r="66" spans="1:11" ht="11.25" customHeight="1" x14ac:dyDescent="0.2">
      <c r="A66" s="670">
        <v>66</v>
      </c>
      <c r="D66" s="175" t="s">
        <v>61</v>
      </c>
      <c r="E66" s="197">
        <f>((182/365)*PERIODOS!$J$40)</f>
        <v>182</v>
      </c>
      <c r="I66" s="18" t="s">
        <v>62</v>
      </c>
      <c r="J66" s="659">
        <f>'FCAS-PROXY'!M44</f>
        <v>0.15</v>
      </c>
    </row>
    <row r="67" spans="1:11" x14ac:dyDescent="0.2">
      <c r="A67" s="670">
        <v>67</v>
      </c>
    </row>
    <row r="68" spans="1:11" x14ac:dyDescent="0.2">
      <c r="A68" s="670">
        <v>68</v>
      </c>
      <c r="B68" s="595">
        <f>'FCAS-PROXY'!D45</f>
        <v>1</v>
      </c>
      <c r="E68" s="596">
        <f>'FCAS-PROXY'!E45</f>
        <v>25</v>
      </c>
      <c r="F68" t="s">
        <v>56</v>
      </c>
    </row>
    <row r="69" spans="1:11" x14ac:dyDescent="0.2">
      <c r="A69" s="670">
        <v>69</v>
      </c>
    </row>
    <row r="70" spans="1:11" x14ac:dyDescent="0.2">
      <c r="A70" s="670">
        <v>70</v>
      </c>
      <c r="B70" s="595">
        <f>'FCAS-PROXY'!D46</f>
        <v>0</v>
      </c>
      <c r="D70" s="4"/>
      <c r="E70" s="596">
        <f>'FCAS-PROXY'!E46</f>
        <v>0</v>
      </c>
      <c r="F70" t="s">
        <v>56</v>
      </c>
    </row>
    <row r="71" spans="1:11" x14ac:dyDescent="0.2">
      <c r="A71" s="670">
        <v>71</v>
      </c>
    </row>
    <row r="72" spans="1:11" x14ac:dyDescent="0.2">
      <c r="A72" s="670">
        <v>72</v>
      </c>
      <c r="B72" s="595">
        <f>'FCAS-PROXY'!D47</f>
        <v>0</v>
      </c>
      <c r="E72" s="596">
        <f>'FCAS-PROXY'!E47</f>
        <v>0</v>
      </c>
      <c r="F72" t="s">
        <v>56</v>
      </c>
    </row>
    <row r="73" spans="1:11" x14ac:dyDescent="0.2">
      <c r="A73" s="670">
        <v>73</v>
      </c>
    </row>
    <row r="74" spans="1:11" x14ac:dyDescent="0.2">
      <c r="A74" s="670">
        <v>74</v>
      </c>
      <c r="B74" s="1" t="s">
        <v>63</v>
      </c>
      <c r="C74" s="2"/>
      <c r="D74" s="3"/>
      <c r="E74" s="3"/>
      <c r="F74" s="3"/>
      <c r="G74" s="3"/>
      <c r="H74" s="3"/>
      <c r="I74" s="3"/>
      <c r="J74" s="3"/>
      <c r="K74" s="713"/>
    </row>
    <row r="75" spans="1:11" x14ac:dyDescent="0.2">
      <c r="A75" s="670">
        <v>75</v>
      </c>
    </row>
    <row r="76" spans="1:11" x14ac:dyDescent="0.2">
      <c r="A76" s="670">
        <v>76</v>
      </c>
      <c r="C76" s="171" t="s">
        <v>64</v>
      </c>
      <c r="D76" s="177">
        <f>J60</f>
        <v>365</v>
      </c>
      <c r="E76" s="178" t="s">
        <v>56</v>
      </c>
      <c r="F76" s="4"/>
      <c r="H76" s="174" t="s">
        <v>65</v>
      </c>
      <c r="I76" s="397">
        <f>IF(OR(B68=1,B68=TRUE),(I62-E68),I62)</f>
        <v>27</v>
      </c>
      <c r="J76" s="178" t="s">
        <v>56</v>
      </c>
    </row>
    <row r="77" spans="1:11" x14ac:dyDescent="0.2">
      <c r="A77" s="670">
        <v>77</v>
      </c>
    </row>
    <row r="78" spans="1:11" x14ac:dyDescent="0.2">
      <c r="A78" s="670">
        <v>78</v>
      </c>
      <c r="C78" s="173" t="s">
        <v>66</v>
      </c>
      <c r="D78" s="397">
        <f>IF(OR(B70=1,B70=TRUE),(I64-E70),I64)</f>
        <v>53</v>
      </c>
      <c r="E78" s="178" t="s">
        <v>56</v>
      </c>
      <c r="F78" s="4"/>
      <c r="H78" s="175" t="s">
        <v>67</v>
      </c>
      <c r="I78" s="177">
        <f>ROUND((E66*J66),0)</f>
        <v>27</v>
      </c>
      <c r="J78" s="178" t="s">
        <v>56</v>
      </c>
    </row>
    <row r="79" spans="1:11" x14ac:dyDescent="0.2">
      <c r="A79" s="670">
        <v>79</v>
      </c>
    </row>
    <row r="80" spans="1:11" x14ac:dyDescent="0.2">
      <c r="A80" s="670">
        <v>80</v>
      </c>
      <c r="C80" s="171" t="s">
        <v>68</v>
      </c>
      <c r="D80" s="397">
        <f>J246</f>
        <v>14.98</v>
      </c>
      <c r="E80" s="178" t="s">
        <v>56</v>
      </c>
      <c r="H80" s="172" t="s">
        <v>69</v>
      </c>
      <c r="I80" s="397">
        <f>IF(OR(B72=1,B72=TRUE),(E64-E72),E64)</f>
        <v>11.3</v>
      </c>
      <c r="J80" s="178" t="s">
        <v>56</v>
      </c>
    </row>
    <row r="81" spans="1:12" x14ac:dyDescent="0.2">
      <c r="A81" s="670">
        <v>81</v>
      </c>
      <c r="D81" s="119"/>
    </row>
    <row r="82" spans="1:12" x14ac:dyDescent="0.2">
      <c r="A82" s="670">
        <v>82</v>
      </c>
      <c r="B82" s="1"/>
      <c r="C82" s="2"/>
      <c r="D82" s="3"/>
      <c r="E82" s="3"/>
      <c r="F82" s="3"/>
      <c r="G82" s="64" t="s">
        <v>70</v>
      </c>
      <c r="H82" s="65">
        <f>(D76-(D78+I76+I80+I78+D80))</f>
        <v>231.72</v>
      </c>
      <c r="I82" s="63" t="s">
        <v>71</v>
      </c>
      <c r="J82" s="3"/>
      <c r="K82" s="713"/>
    </row>
    <row r="83" spans="1:12" x14ac:dyDescent="0.2">
      <c r="A83" s="670">
        <v>83</v>
      </c>
    </row>
    <row r="84" spans="1:12" x14ac:dyDescent="0.2">
      <c r="A84" s="670">
        <v>84</v>
      </c>
      <c r="B84" s="1" t="s">
        <v>72</v>
      </c>
      <c r="C84" s="2"/>
      <c r="D84" s="3"/>
      <c r="E84" s="3"/>
      <c r="F84" s="3"/>
      <c r="G84" s="3"/>
      <c r="H84" s="3"/>
      <c r="I84" s="3"/>
      <c r="J84" s="3"/>
      <c r="K84" s="713"/>
    </row>
    <row r="85" spans="1:12" x14ac:dyDescent="0.2">
      <c r="A85" s="670">
        <v>85</v>
      </c>
      <c r="G85" s="52"/>
    </row>
    <row r="86" spans="1:12" x14ac:dyDescent="0.2">
      <c r="A86" s="670">
        <v>86</v>
      </c>
      <c r="B86" s="648" t="s">
        <v>73</v>
      </c>
      <c r="C86" s="182"/>
      <c r="D86" s="182"/>
      <c r="E86" s="182"/>
      <c r="F86" s="182"/>
      <c r="G86" s="182"/>
      <c r="H86" s="182"/>
      <c r="I86" s="182"/>
      <c r="J86" s="182"/>
      <c r="K86" s="724"/>
    </row>
    <row r="87" spans="1:12" x14ac:dyDescent="0.2">
      <c r="A87" s="670">
        <v>87</v>
      </c>
      <c r="G87" s="52"/>
    </row>
    <row r="88" spans="1:12" x14ac:dyDescent="0.2">
      <c r="A88" s="670">
        <v>88</v>
      </c>
      <c r="B88" s="183" t="s">
        <v>74</v>
      </c>
      <c r="C88" s="733" t="s">
        <v>75</v>
      </c>
      <c r="D88" s="733"/>
      <c r="E88" s="733"/>
      <c r="F88" s="733"/>
      <c r="G88" s="733"/>
      <c r="H88" s="183"/>
      <c r="I88" s="184" t="s">
        <v>76</v>
      </c>
      <c r="J88" s="183" t="s">
        <v>77</v>
      </c>
      <c r="K88" s="725" t="s">
        <v>1</v>
      </c>
    </row>
    <row r="89" spans="1:12" x14ac:dyDescent="0.2">
      <c r="A89" s="670">
        <v>89</v>
      </c>
      <c r="C89" s="84"/>
      <c r="D89" s="84"/>
      <c r="E89" s="84"/>
      <c r="F89" s="84"/>
      <c r="G89" s="179"/>
      <c r="H89" s="84"/>
    </row>
    <row r="90" spans="1:12" x14ac:dyDescent="0.2">
      <c r="A90" s="670">
        <v>90</v>
      </c>
      <c r="B90" s="248">
        <v>12</v>
      </c>
      <c r="C90" s="4" t="s">
        <v>78</v>
      </c>
      <c r="D90" s="180"/>
      <c r="E90" s="180"/>
      <c r="F90" s="647">
        <f>'FCAS-PROXY'!D50</f>
        <v>0</v>
      </c>
      <c r="G90" s="660">
        <f>'FCAS-PROXY'!E50</f>
        <v>1</v>
      </c>
      <c r="H90" s="84" t="s">
        <v>43</v>
      </c>
      <c r="K90" s="244">
        <f>IF(OR(F90=1,F90=TRUE),(((G90*2*VARIABLES!C5)+((G90*5*VARIABLES!C7)*2))/TDT)/SBP,0)</f>
        <v>0</v>
      </c>
    </row>
    <row r="91" spans="1:12" x14ac:dyDescent="0.2">
      <c r="A91" s="670">
        <v>91</v>
      </c>
      <c r="C91" s="84"/>
      <c r="D91" s="84"/>
      <c r="E91" s="84"/>
      <c r="F91" s="84"/>
      <c r="G91" s="84"/>
      <c r="H91" s="84"/>
    </row>
    <row r="92" spans="1:12" x14ac:dyDescent="0.2">
      <c r="A92" s="670">
        <v>92</v>
      </c>
      <c r="B92" s="648" t="s">
        <v>79</v>
      </c>
      <c r="C92" s="182"/>
      <c r="D92" s="182"/>
      <c r="E92" s="182"/>
      <c r="F92" s="182"/>
      <c r="G92" s="182"/>
      <c r="H92" s="182"/>
      <c r="I92" s="182"/>
      <c r="J92" s="182"/>
      <c r="K92" s="724"/>
    </row>
    <row r="93" spans="1:12" x14ac:dyDescent="0.2">
      <c r="A93" s="670">
        <v>93</v>
      </c>
      <c r="B93" s="4"/>
      <c r="C93" s="4"/>
      <c r="D93" s="4"/>
      <c r="E93" s="4"/>
      <c r="F93" s="4"/>
      <c r="G93" s="4"/>
      <c r="H93" s="4"/>
      <c r="I93" s="4"/>
      <c r="J93" s="4"/>
      <c r="K93" s="714"/>
    </row>
    <row r="94" spans="1:12" x14ac:dyDescent="0.2">
      <c r="A94" s="670">
        <v>94</v>
      </c>
      <c r="B94" s="183" t="s">
        <v>74</v>
      </c>
      <c r="C94" s="733" t="s">
        <v>75</v>
      </c>
      <c r="D94" s="733"/>
      <c r="E94" s="733"/>
      <c r="F94" s="733"/>
      <c r="G94" s="733"/>
      <c r="H94" s="183"/>
      <c r="I94" s="184" t="s">
        <v>76</v>
      </c>
      <c r="J94" s="183" t="s">
        <v>77</v>
      </c>
      <c r="K94" s="725" t="s">
        <v>1</v>
      </c>
    </row>
    <row r="95" spans="1:12" x14ac:dyDescent="0.2">
      <c r="A95" s="670">
        <v>95</v>
      </c>
      <c r="C95" s="84"/>
      <c r="D95" s="84"/>
      <c r="E95" s="84"/>
      <c r="F95" s="84"/>
      <c r="G95" s="84"/>
      <c r="H95" s="84"/>
    </row>
    <row r="96" spans="1:12" x14ac:dyDescent="0.2">
      <c r="A96" s="670">
        <v>96</v>
      </c>
      <c r="B96" s="247">
        <v>17</v>
      </c>
      <c r="C96" s="178" t="s">
        <v>80</v>
      </c>
      <c r="D96" s="84"/>
      <c r="E96" s="84"/>
      <c r="F96" s="647" t="b">
        <v>1</v>
      </c>
      <c r="G96" s="84"/>
      <c r="H96" s="647" t="b">
        <v>0</v>
      </c>
      <c r="I96" s="242">
        <f>IF(OR(F96=1,F96=TRUE),IF(OR(H131=1,H131=TRUE),0,IF(OR(H96=1,H96=TRUE),0,IF(TDT&gt;=20,(VARIABLES!C35*VUT),(VARIABLES!C33*VUT)))),0)</f>
        <v>9300</v>
      </c>
      <c r="K96" s="244">
        <f>IF(OR(H131=1,H131=TRUE),0,IF(OR(H96=1,H96=TRUE),CALCULOS!$H$25,IF(OR(F96=1,F96=TRUE),(I96/SBP)*(PERIODOS!$J$41*30),0)))</f>
        <v>457.5677</v>
      </c>
      <c r="L96" s="57"/>
    </row>
    <row r="97" spans="1:11" x14ac:dyDescent="0.2">
      <c r="A97" s="670">
        <v>97</v>
      </c>
      <c r="B97" s="136"/>
      <c r="C97" s="84"/>
      <c r="D97" s="84"/>
      <c r="E97" s="84"/>
      <c r="F97" s="84"/>
      <c r="G97" s="84"/>
      <c r="H97" s="84"/>
    </row>
    <row r="98" spans="1:11" x14ac:dyDescent="0.2">
      <c r="A98" s="670">
        <v>98</v>
      </c>
      <c r="B98" s="247">
        <v>18</v>
      </c>
      <c r="C98" s="4" t="s">
        <v>81</v>
      </c>
      <c r="I98" s="242">
        <f>IF(AND(((3+IF(OR(D148=1,D148=TRUE),C148,0))+IF(OR(G148=1,G148=TRUE),F148,0))&gt;=5,((3+IF(OR(D148=1,D148=TRUE),C148,0))+IF(OR(G148=1,G148=TRUE),F148,0))&lt;7),(0.28*VUT),IF(((3+IF(OR(D148=1,D148=TRUE),C148,0))+IF(OR(G148=1,G148=TRUE),F148,0))&gt;=7,(0.35*VUT),0))</f>
        <v>105</v>
      </c>
      <c r="K98" s="244">
        <f>((((C150*C152)+(F150*F152))*I98)/TDT)/SBP</f>
        <v>0.4592</v>
      </c>
    </row>
    <row r="99" spans="1:11" x14ac:dyDescent="0.2">
      <c r="A99" s="670">
        <v>99</v>
      </c>
      <c r="B99" s="136"/>
    </row>
    <row r="100" spans="1:11" x14ac:dyDescent="0.2">
      <c r="A100" s="670">
        <v>100</v>
      </c>
      <c r="B100" s="247">
        <v>19</v>
      </c>
      <c r="C100" s="4" t="s">
        <v>82</v>
      </c>
      <c r="F100" s="14"/>
      <c r="K100" s="244">
        <f>IF(OR(H131=1,H131=TRUE),0,IF(K12&gt;"1500",CALCULOS!I33,0))</f>
        <v>0</v>
      </c>
    </row>
    <row r="101" spans="1:11" x14ac:dyDescent="0.2">
      <c r="A101" s="670">
        <v>101</v>
      </c>
      <c r="B101" s="136"/>
    </row>
    <row r="102" spans="1:11" x14ac:dyDescent="0.2">
      <c r="A102" s="670">
        <v>102</v>
      </c>
      <c r="B102" s="247">
        <v>20</v>
      </c>
      <c r="C102" s="4" t="s">
        <v>83</v>
      </c>
      <c r="D102" s="4"/>
      <c r="E102" s="4"/>
      <c r="G102" s="661">
        <f>'FCAS-PROXY'!M54</f>
        <v>0.2</v>
      </c>
      <c r="H102" s="84" t="s">
        <v>43</v>
      </c>
      <c r="I102" s="241">
        <f>PERIODOS!I58</f>
        <v>35</v>
      </c>
      <c r="K102" s="244">
        <f>((TDT*G102)*I102)/TDT</f>
        <v>7</v>
      </c>
    </row>
    <row r="103" spans="1:11" x14ac:dyDescent="0.2">
      <c r="A103" s="670">
        <v>103</v>
      </c>
      <c r="B103" s="136"/>
    </row>
    <row r="104" spans="1:11" x14ac:dyDescent="0.2">
      <c r="A104" s="670">
        <v>104</v>
      </c>
      <c r="B104" s="247">
        <v>21</v>
      </c>
      <c r="C104" s="4" t="s">
        <v>84</v>
      </c>
      <c r="D104" s="4"/>
      <c r="E104" s="60"/>
      <c r="G104" s="14"/>
      <c r="I104" s="242">
        <f>PERIODOS!L75</f>
        <v>3000</v>
      </c>
      <c r="J104" s="241">
        <f>((TDT*TABLAS!G62)*2)/TDT</f>
        <v>0.04</v>
      </c>
      <c r="K104" s="244">
        <f>(((TDT*TABLAS!G62)*I104)/TDT)/SBP+J104</f>
        <v>4.8000000000000001E-2</v>
      </c>
    </row>
    <row r="105" spans="1:11" x14ac:dyDescent="0.2">
      <c r="A105" s="670">
        <v>105</v>
      </c>
      <c r="B105" s="247"/>
      <c r="C105" s="4"/>
      <c r="D105" s="4"/>
      <c r="I105" s="50"/>
    </row>
    <row r="106" spans="1:11" x14ac:dyDescent="0.2">
      <c r="A106" s="670">
        <v>106</v>
      </c>
      <c r="B106" s="247">
        <v>22</v>
      </c>
      <c r="C106" s="4" t="s">
        <v>85</v>
      </c>
      <c r="D106" s="4"/>
      <c r="I106" s="242">
        <f>PERIODOS!F75</f>
        <v>2423.29</v>
      </c>
      <c r="J106" s="241">
        <f>((TDT*TABLAS!G68)*(7+10))/TDT</f>
        <v>0.05</v>
      </c>
      <c r="K106" s="244">
        <f>(((TDT*TABLAS!G68)*I106)/TDT)/SBP+J106</f>
        <v>5.0999999999999997E-2</v>
      </c>
    </row>
    <row r="107" spans="1:11" x14ac:dyDescent="0.2">
      <c r="A107" s="670">
        <v>107</v>
      </c>
      <c r="B107" s="136"/>
    </row>
    <row r="108" spans="1:11" x14ac:dyDescent="0.2">
      <c r="A108" s="670">
        <v>108</v>
      </c>
      <c r="B108" s="247">
        <v>23</v>
      </c>
      <c r="C108" s="4" t="s">
        <v>86</v>
      </c>
      <c r="D108" s="4"/>
      <c r="E108" s="161"/>
      <c r="F108" s="4"/>
      <c r="G108" s="4"/>
      <c r="H108" s="4"/>
      <c r="I108" s="4"/>
      <c r="J108" s="4"/>
      <c r="K108" s="245">
        <f>'FCAS-PROXY'!N55</f>
        <v>0</v>
      </c>
    </row>
    <row r="109" spans="1:11" x14ac:dyDescent="0.2">
      <c r="A109" s="670">
        <v>109</v>
      </c>
      <c r="B109" s="247"/>
      <c r="C109" s="4"/>
      <c r="D109" s="4"/>
      <c r="E109" s="4"/>
      <c r="F109" s="57" t="s">
        <v>87</v>
      </c>
      <c r="G109" s="57" t="s">
        <v>88</v>
      </c>
      <c r="H109" s="4"/>
      <c r="I109" s="4"/>
      <c r="J109" s="4"/>
      <c r="K109" s="714"/>
    </row>
    <row r="110" spans="1:11" x14ac:dyDescent="0.2">
      <c r="A110" s="670">
        <v>110</v>
      </c>
      <c r="B110" s="247">
        <v>24</v>
      </c>
      <c r="C110" s="4" t="s">
        <v>89</v>
      </c>
      <c r="D110" s="4"/>
      <c r="E110" s="4"/>
      <c r="F110" s="662">
        <f>'FCAS-PROXY'!D56</f>
        <v>0</v>
      </c>
      <c r="G110" s="662">
        <f>'FCAS-PROXY'!E56</f>
        <v>0</v>
      </c>
      <c r="H110" s="4" t="s">
        <v>43</v>
      </c>
      <c r="I110" s="4"/>
      <c r="J110" s="243">
        <f>(((G110*1)*(5*4*7))/8)/TDT</f>
        <v>0</v>
      </c>
      <c r="K110" s="245">
        <f>(((F110*3*PERIODOS!$F$93)/TDT)/SBP)+J110</f>
        <v>0</v>
      </c>
    </row>
    <row r="111" spans="1:11" x14ac:dyDescent="0.2">
      <c r="A111" s="670">
        <v>111</v>
      </c>
      <c r="B111" s="136"/>
    </row>
    <row r="112" spans="1:11" x14ac:dyDescent="0.2">
      <c r="A112" s="670">
        <v>112</v>
      </c>
      <c r="B112" s="136"/>
      <c r="D112" s="57" t="s">
        <v>43</v>
      </c>
      <c r="E112" s="57" t="s">
        <v>56</v>
      </c>
    </row>
    <row r="113" spans="1:11" x14ac:dyDescent="0.2">
      <c r="A113" s="670">
        <v>113</v>
      </c>
      <c r="B113" s="247">
        <v>28</v>
      </c>
      <c r="C113" s="4" t="s">
        <v>90</v>
      </c>
      <c r="D113" s="662">
        <f>'FCAS-PROXY'!D57</f>
        <v>0</v>
      </c>
      <c r="E113" s="662">
        <f>'FCAS-PROXY'!E57</f>
        <v>0</v>
      </c>
      <c r="K113" s="244">
        <f>((IF(OR(H131=1,H131=TRUE),0,(IF(OR(D114=1,D114=TRUE),(D113*E113*VARIABLES!C41*VUT),0)+IF(OR(E114=1,E114=TRUE),(D113*E113*VARIABLES!C43*VUT),0)+IF(OR(F114=1,F114=TRUE),(D113*E113*VARIABLES!C45*VUT),0)+IF(OR(G114=1,G114=TRUE),(D113*VARIABLES!C49*2),0)+IF(OR(H114=1,H114=TRUE),(D113*(E113-1)*VARIABLES!C47),0))))/TDT)/SBP</f>
        <v>0</v>
      </c>
    </row>
    <row r="114" spans="1:11" x14ac:dyDescent="0.2">
      <c r="A114" s="670">
        <v>114</v>
      </c>
      <c r="B114" s="136"/>
      <c r="D114" s="587">
        <f>'FCAS-PROXY'!D58</f>
        <v>0</v>
      </c>
      <c r="E114" s="587">
        <f>'FCAS-PROXY'!D59</f>
        <v>0</v>
      </c>
      <c r="F114" s="587">
        <f>'FCAS-PROXY'!D60</f>
        <v>0</v>
      </c>
      <c r="G114" s="587">
        <f>'FCAS-PROXY'!D61</f>
        <v>0</v>
      </c>
      <c r="H114" s="587">
        <f>'FCAS-PROXY'!D62</f>
        <v>0</v>
      </c>
    </row>
    <row r="115" spans="1:11" x14ac:dyDescent="0.2">
      <c r="A115" s="670">
        <v>115</v>
      </c>
      <c r="B115" s="136"/>
    </row>
    <row r="116" spans="1:11" x14ac:dyDescent="0.2">
      <c r="A116" s="670">
        <v>116</v>
      </c>
      <c r="B116" s="247">
        <v>29</v>
      </c>
      <c r="C116" s="4" t="s">
        <v>91</v>
      </c>
      <c r="D116" s="4"/>
      <c r="E116" s="171" t="s">
        <v>92</v>
      </c>
      <c r="F116" s="663">
        <f>'FCAS-PROXY'!M63</f>
        <v>0.06</v>
      </c>
      <c r="K116" s="245">
        <f>(((VARIABLES!C79+VARIABLES!C81)*F116)/1)/SBP</f>
        <v>0.54120000000000001</v>
      </c>
    </row>
    <row r="117" spans="1:11" x14ac:dyDescent="0.2">
      <c r="A117" s="670">
        <v>117</v>
      </c>
      <c r="B117" s="136"/>
    </row>
    <row r="118" spans="1:11" x14ac:dyDescent="0.2">
      <c r="A118" s="670">
        <v>118</v>
      </c>
      <c r="B118" s="247">
        <v>30</v>
      </c>
      <c r="C118" s="4" t="s">
        <v>93</v>
      </c>
      <c r="I118" s="242">
        <f>VARIABLES!C51</f>
        <v>660</v>
      </c>
      <c r="J118" s="241">
        <f>(IF(D14=1,2,3)*(TDT*TABLAS!G74))/TDT</f>
        <v>0.01</v>
      </c>
      <c r="K118" s="244">
        <f>(I118*F60)/SBP</f>
        <v>1.0824</v>
      </c>
    </row>
    <row r="119" spans="1:11" x14ac:dyDescent="0.2">
      <c r="A119" s="670">
        <v>119</v>
      </c>
      <c r="B119" s="247"/>
      <c r="C119" s="4"/>
    </row>
    <row r="120" spans="1:11" x14ac:dyDescent="0.2">
      <c r="A120" s="670">
        <v>120</v>
      </c>
      <c r="B120" s="247">
        <v>32</v>
      </c>
      <c r="C120" s="4" t="s">
        <v>94</v>
      </c>
      <c r="K120" s="244">
        <f>((SBP*30)*TABLAS!F79*FCAS!F60)/SBP</f>
        <v>7.2</v>
      </c>
    </row>
    <row r="121" spans="1:11" x14ac:dyDescent="0.2">
      <c r="A121" s="670">
        <v>121</v>
      </c>
      <c r="B121" s="247"/>
      <c r="C121" s="4"/>
    </row>
    <row r="122" spans="1:11" x14ac:dyDescent="0.2">
      <c r="A122" s="670">
        <v>122</v>
      </c>
      <c r="B122" s="247">
        <v>33</v>
      </c>
      <c r="C122" s="4" t="s">
        <v>95</v>
      </c>
      <c r="K122" s="244">
        <f>((SBP*30)*TABLAS!I79*FCAS!F60)/SBP</f>
        <v>7.2</v>
      </c>
    </row>
    <row r="123" spans="1:11" x14ac:dyDescent="0.2">
      <c r="A123" s="670">
        <v>123</v>
      </c>
      <c r="B123" s="247"/>
      <c r="C123" s="4"/>
    </row>
    <row r="124" spans="1:11" x14ac:dyDescent="0.2">
      <c r="A124" s="670">
        <v>124</v>
      </c>
      <c r="B124" s="247">
        <v>34</v>
      </c>
      <c r="C124" s="4" t="s">
        <v>96</v>
      </c>
      <c r="K124" s="244">
        <f>((SBP*30)*TABLAS!F81*FCAS!F60)/SBP</f>
        <v>7.2</v>
      </c>
    </row>
    <row r="125" spans="1:11" x14ac:dyDescent="0.2">
      <c r="A125" s="670">
        <v>125</v>
      </c>
      <c r="B125" s="136"/>
    </row>
    <row r="126" spans="1:11" x14ac:dyDescent="0.2">
      <c r="A126" s="670">
        <v>126</v>
      </c>
      <c r="B126" s="247">
        <v>32</v>
      </c>
      <c r="C126" s="4" t="s">
        <v>97</v>
      </c>
      <c r="D126" s="4"/>
      <c r="I126" s="241">
        <f>(IF(OR(C128=1,C128=TRUE),IF(D14=1,(C129*2),(C129*3)),0)+IF(OR(D128=1,D128=TRUE),(D129*5),0)+IF(OR(E128=1,E128=TRUE),(E129*10),0)+IF(OR(F128=1,F128=TRUE),(F129*4),0))</f>
        <v>21</v>
      </c>
      <c r="J126" s="241">
        <f>(IF(OR(C128=1,C128=TRUE),IF(D14=1,(C129*2),(C129*3)),0)+IF(OR(D128=1,D128=TRUE),(D129*5),0)+IF(OR(E128=1,E128=TRUE),(E129*10),0)+IF(OR(F128=1,F128=TRUE),(F129*4),0))/TDT</f>
        <v>0.42</v>
      </c>
      <c r="K126" s="244">
        <f>(IF(OR(C128=1,C128=TRUE),IF(D14=1,(C129*2),(C129*3)),0)+IF(OR(D128=1,D128=TRUE),(D129*5),0)+IF(OR(E128=1,E128=TRUE),(E129*10),0)+IF(OR(F128=1,F128=TRUE),(F129*4),0))/TDT</f>
        <v>0.42</v>
      </c>
    </row>
    <row r="127" spans="1:11" x14ac:dyDescent="0.2">
      <c r="A127" s="670">
        <v>127</v>
      </c>
    </row>
    <row r="128" spans="1:11" ht="12.75" customHeight="1" x14ac:dyDescent="0.2">
      <c r="A128" s="670">
        <v>128</v>
      </c>
      <c r="C128" s="587">
        <f>'FCAS-PROXY'!D64</f>
        <v>1</v>
      </c>
      <c r="D128" s="587">
        <f>'FCAS-PROXY'!E64</f>
        <v>1</v>
      </c>
      <c r="E128" s="587">
        <f>'FCAS-PROXY'!F64</f>
        <v>1</v>
      </c>
      <c r="F128" s="587">
        <f>'FCAS-PROXY'!G64</f>
        <v>1</v>
      </c>
    </row>
    <row r="129" spans="1:11" x14ac:dyDescent="0.2">
      <c r="A129" s="670">
        <v>129</v>
      </c>
      <c r="C129" s="596">
        <f>'FCAS-PROXY'!D65</f>
        <v>1</v>
      </c>
      <c r="D129" s="596">
        <f>'FCAS-PROXY'!E65</f>
        <v>1</v>
      </c>
      <c r="E129" s="596">
        <f>'FCAS-PROXY'!F65</f>
        <v>1</v>
      </c>
      <c r="F129" s="596">
        <f>'FCAS-PROXY'!G65</f>
        <v>1</v>
      </c>
    </row>
    <row r="130" spans="1:11" x14ac:dyDescent="0.2">
      <c r="A130" s="670">
        <v>130</v>
      </c>
    </row>
    <row r="131" spans="1:11" x14ac:dyDescent="0.2">
      <c r="A131" s="670">
        <v>131</v>
      </c>
      <c r="B131" s="247">
        <v>37</v>
      </c>
      <c r="C131" s="4" t="s">
        <v>98</v>
      </c>
      <c r="D131" s="4"/>
      <c r="E131" s="4"/>
      <c r="F131" s="4"/>
      <c r="H131" s="587">
        <f>'FCAS-PROXY'!D66</f>
        <v>0</v>
      </c>
      <c r="K131" s="244">
        <f>IF(OR(H131=1,H131=TRUE),(((CALCULOS!J91+CALCULOS!J93+CALCULOS!J95+CALCULOS!J97)/1)/TDT)/SBP,0)</f>
        <v>0</v>
      </c>
    </row>
    <row r="132" spans="1:11" x14ac:dyDescent="0.2">
      <c r="A132" s="670">
        <v>132</v>
      </c>
      <c r="C132" s="473" t="s">
        <v>99</v>
      </c>
    </row>
    <row r="133" spans="1:11" x14ac:dyDescent="0.2">
      <c r="A133" s="670">
        <v>133</v>
      </c>
      <c r="B133" s="475" t="s">
        <v>26</v>
      </c>
      <c r="C133" s="476">
        <f>H267</f>
        <v>17.768000000000001</v>
      </c>
      <c r="D133" s="477"/>
      <c r="E133" s="478"/>
      <c r="F133" s="478" t="s">
        <v>27</v>
      </c>
      <c r="G133" s="476">
        <f>H269</f>
        <v>15.7934</v>
      </c>
      <c r="H133" s="479"/>
      <c r="I133" s="478"/>
      <c r="J133" s="478" t="s">
        <v>28</v>
      </c>
      <c r="K133" s="730">
        <f>H271</f>
        <v>65.628699999999995</v>
      </c>
    </row>
    <row r="134" spans="1:11" x14ac:dyDescent="0.2">
      <c r="A134" s="670">
        <v>134</v>
      </c>
    </row>
    <row r="135" spans="1:11" x14ac:dyDescent="0.2">
      <c r="A135" s="670">
        <v>135</v>
      </c>
      <c r="B135" s="181" t="s">
        <v>100</v>
      </c>
      <c r="C135" s="182"/>
      <c r="D135" s="182"/>
      <c r="E135" s="182"/>
      <c r="F135" s="182"/>
      <c r="G135" s="182"/>
      <c r="H135" s="182"/>
      <c r="I135" s="182"/>
      <c r="J135" s="182"/>
      <c r="K135" s="724"/>
    </row>
    <row r="136" spans="1:11" x14ac:dyDescent="0.2">
      <c r="A136" s="670">
        <v>136</v>
      </c>
      <c r="B136" s="4"/>
      <c r="C136" s="4"/>
      <c r="D136" s="4"/>
      <c r="E136" s="4"/>
      <c r="F136" s="4"/>
      <c r="G136" s="4"/>
      <c r="H136" s="4"/>
      <c r="I136" s="4"/>
      <c r="J136" s="4"/>
      <c r="K136" s="714"/>
    </row>
    <row r="137" spans="1:11" x14ac:dyDescent="0.2">
      <c r="A137" s="670">
        <v>137</v>
      </c>
      <c r="B137" s="183" t="s">
        <v>74</v>
      </c>
      <c r="C137" s="733" t="s">
        <v>75</v>
      </c>
      <c r="D137" s="733"/>
      <c r="E137" s="733"/>
      <c r="F137" s="733"/>
      <c r="G137" s="733"/>
      <c r="H137" s="183"/>
      <c r="I137" s="184" t="s">
        <v>76</v>
      </c>
      <c r="J137" s="183" t="s">
        <v>77</v>
      </c>
      <c r="K137" s="725" t="s">
        <v>1</v>
      </c>
    </row>
    <row r="138" spans="1:11" x14ac:dyDescent="0.2">
      <c r="A138" s="670">
        <v>138</v>
      </c>
    </row>
    <row r="139" spans="1:11" x14ac:dyDescent="0.2">
      <c r="A139" s="670">
        <v>139</v>
      </c>
      <c r="B139" s="247">
        <v>38</v>
      </c>
      <c r="C139" s="4" t="s">
        <v>101</v>
      </c>
      <c r="D139" s="4"/>
      <c r="E139" s="4"/>
      <c r="F139" s="663">
        <f>'FCAS-PROXY'!M69</f>
        <v>0.95</v>
      </c>
      <c r="G139" s="4" t="s">
        <v>43</v>
      </c>
      <c r="H139" s="4"/>
      <c r="I139" s="243">
        <f>VARIABLES!C77</f>
        <v>6</v>
      </c>
      <c r="J139" s="4"/>
      <c r="K139" s="245">
        <f>(('DIST-PRS'!E8*$F$139)*('DIST-PRS'!C8*ROT!D9)*$I$139+('DIST-PRS'!E9*$F$139)*('DIST-PRS'!C9*ROT!D10)*$I$139+('DIST-PRS'!E10*$F$139)*('DIST-PRS'!C10*ROT!D11)*$I$139+('DIST-PRS'!E11*$F$139)*('DIST-PRS'!C11*ROT!D12)*$I$139)/TDT</f>
        <v>58.14</v>
      </c>
    </row>
    <row r="140" spans="1:11" x14ac:dyDescent="0.2">
      <c r="A140" s="670">
        <v>140</v>
      </c>
      <c r="B140" s="136"/>
    </row>
    <row r="141" spans="1:11" x14ac:dyDescent="0.2">
      <c r="A141" s="670">
        <v>141</v>
      </c>
      <c r="B141" s="247">
        <v>39</v>
      </c>
      <c r="C141" s="4" t="s">
        <v>102</v>
      </c>
      <c r="I141" s="241">
        <f>CALCULOS!I111</f>
        <v>1</v>
      </c>
      <c r="J141" s="241">
        <f>CALCULOS!G111</f>
        <v>0</v>
      </c>
      <c r="K141" s="244">
        <f>((IF(C12=1,IF(OR(D148=1,D148=TRUE),(C148*C150*C152*1.75),0),0)+IF(C12=2,IF(OR(G148=1,G148=TRUE),(F148*F150*F152*2.1),0),0)+IF(C12=2,IF(OR(D148=1,D148=TRUE),(C148*C150*C152*1.75),0),0)+IF(C12=1,IF(OR(G148=1,G148=TRUE),(F148*F150*F152*2.1),0),0))/8/TDT)+I141</f>
        <v>16.399999999999999</v>
      </c>
    </row>
    <row r="142" spans="1:11" hidden="1" outlineLevel="1" x14ac:dyDescent="0.2">
      <c r="A142" s="670">
        <v>142</v>
      </c>
      <c r="B142" s="57"/>
      <c r="C142" s="159" t="s">
        <v>103</v>
      </c>
      <c r="D142" s="4"/>
      <c r="E142" s="4"/>
      <c r="F142" s="159" t="s">
        <v>103</v>
      </c>
      <c r="G142" s="4"/>
    </row>
    <row r="143" spans="1:11" hidden="1" outlineLevel="1" x14ac:dyDescent="0.2">
      <c r="A143" s="670">
        <v>143</v>
      </c>
      <c r="B143" s="57"/>
      <c r="C143" s="177">
        <v>1</v>
      </c>
      <c r="D143" s="4"/>
      <c r="E143" s="4"/>
      <c r="F143" s="177">
        <v>1</v>
      </c>
      <c r="G143" s="4"/>
    </row>
    <row r="144" spans="1:11" hidden="1" outlineLevel="1" x14ac:dyDescent="0.2">
      <c r="A144" s="670">
        <v>144</v>
      </c>
      <c r="B144" s="57"/>
      <c r="C144" s="177">
        <v>2</v>
      </c>
      <c r="D144" s="4"/>
      <c r="E144" s="4"/>
      <c r="F144" s="177">
        <v>2</v>
      </c>
      <c r="G144" s="4"/>
    </row>
    <row r="145" spans="1:11" hidden="1" outlineLevel="1" x14ac:dyDescent="0.2">
      <c r="A145" s="670">
        <v>145</v>
      </c>
      <c r="B145" s="57"/>
      <c r="C145" s="196"/>
      <c r="D145" s="4"/>
      <c r="E145" s="4"/>
      <c r="F145" s="177">
        <v>3</v>
      </c>
      <c r="G145" s="4"/>
    </row>
    <row r="146" spans="1:11" hidden="1" outlineLevel="1" x14ac:dyDescent="0.2">
      <c r="A146" s="670">
        <v>146</v>
      </c>
      <c r="B146" s="57"/>
      <c r="C146" s="196"/>
      <c r="D146" s="4"/>
      <c r="E146" s="4"/>
      <c r="F146" s="177">
        <v>4</v>
      </c>
      <c r="G146" s="4"/>
    </row>
    <row r="147" spans="1:11" collapsed="1" x14ac:dyDescent="0.2">
      <c r="A147" s="670">
        <v>147</v>
      </c>
    </row>
    <row r="148" spans="1:11" x14ac:dyDescent="0.2">
      <c r="A148" s="670">
        <v>148</v>
      </c>
      <c r="C148" s="664">
        <f>'FCAS-PROXY'!D70</f>
        <v>2</v>
      </c>
      <c r="D148" s="595">
        <f>'FCAS-PROXY'!E70</f>
        <v>1</v>
      </c>
      <c r="F148" s="664">
        <f>'FCAS-PROXY'!D71</f>
        <v>2</v>
      </c>
      <c r="G148" s="587">
        <f>'FCAS-PROXY'!E71</f>
        <v>1</v>
      </c>
      <c r="I148" s="254"/>
      <c r="J148" s="254"/>
    </row>
    <row r="149" spans="1:11" x14ac:dyDescent="0.2">
      <c r="A149" s="670">
        <v>149</v>
      </c>
      <c r="I149" s="254"/>
      <c r="J149" s="254"/>
    </row>
    <row r="150" spans="1:11" x14ac:dyDescent="0.2">
      <c r="A150" s="670">
        <v>150</v>
      </c>
      <c r="C150" s="665">
        <f>'FCAS-PROXY'!D72</f>
        <v>20</v>
      </c>
      <c r="D150" s="178" t="s">
        <v>104</v>
      </c>
      <c r="F150" s="665">
        <f>'FCAS-PROXY'!E72</f>
        <v>20</v>
      </c>
      <c r="G150" s="178" t="s">
        <v>104</v>
      </c>
      <c r="I150" s="254"/>
      <c r="J150" s="254"/>
    </row>
    <row r="151" spans="1:11" x14ac:dyDescent="0.2">
      <c r="A151" s="670">
        <v>151</v>
      </c>
      <c r="C151" s="14" t="s">
        <v>105</v>
      </c>
      <c r="F151" s="14" t="s">
        <v>105</v>
      </c>
      <c r="I151" s="254"/>
      <c r="J151" s="254"/>
    </row>
    <row r="152" spans="1:11" x14ac:dyDescent="0.2">
      <c r="A152" s="670">
        <v>152</v>
      </c>
      <c r="C152" s="665">
        <f>'FCAS-PROXY'!D73</f>
        <v>40</v>
      </c>
      <c r="D152" s="178" t="s">
        <v>106</v>
      </c>
      <c r="F152" s="665">
        <f>'FCAS-PROXY'!E73</f>
        <v>40</v>
      </c>
      <c r="G152" s="178" t="s">
        <v>106</v>
      </c>
      <c r="I152" s="254"/>
      <c r="J152" s="254"/>
    </row>
    <row r="153" spans="1:11" x14ac:dyDescent="0.2">
      <c r="A153" s="670">
        <v>153</v>
      </c>
      <c r="F153" s="377"/>
      <c r="I153" s="254"/>
      <c r="J153" s="254"/>
    </row>
    <row r="154" spans="1:11" x14ac:dyDescent="0.2">
      <c r="A154" s="670">
        <v>154</v>
      </c>
      <c r="B154" s="247">
        <v>40</v>
      </c>
      <c r="C154" s="4" t="s">
        <v>107</v>
      </c>
      <c r="I154" s="242"/>
      <c r="J154" s="270"/>
      <c r="K154" s="244">
        <f>((IF(OR(H157=1,H157=TRUE),(D157*G157*I157),0)+IF(OR(H160=1,H160=TRUE),(D160*G160*I160),0)+IF(OR(H163=1,H163=TRUE),(D163*G163*I163),0))/TDT)/SBP</f>
        <v>7.46E-2</v>
      </c>
    </row>
    <row r="155" spans="1:11" x14ac:dyDescent="0.2">
      <c r="A155" s="670">
        <v>155</v>
      </c>
      <c r="I155" s="254"/>
      <c r="J155" s="254"/>
    </row>
    <row r="156" spans="1:11" x14ac:dyDescent="0.2">
      <c r="A156" s="670">
        <v>156</v>
      </c>
      <c r="B156" t="s">
        <v>108</v>
      </c>
      <c r="C156" s="14" t="s">
        <v>109</v>
      </c>
      <c r="D156" s="14" t="s">
        <v>56</v>
      </c>
      <c r="E156" s="14"/>
      <c r="F156" s="14" t="s">
        <v>110</v>
      </c>
      <c r="G156" s="14" t="s">
        <v>43</v>
      </c>
      <c r="I156" s="242"/>
      <c r="J156" s="270"/>
    </row>
    <row r="157" spans="1:11" x14ac:dyDescent="0.2">
      <c r="A157" s="670">
        <v>157</v>
      </c>
      <c r="C157" s="272">
        <f>FIPROY</f>
        <v>43010</v>
      </c>
      <c r="D157" s="667">
        <f>'FCAS-PROXY'!D75</f>
        <v>180</v>
      </c>
      <c r="E157" s="14"/>
      <c r="F157" s="273">
        <f>(C157+D157)</f>
        <v>43190</v>
      </c>
      <c r="G157" s="666">
        <f>'FCAS-PROXY'!E75</f>
        <v>5</v>
      </c>
      <c r="H157" s="587">
        <f>'FCAS-PROXY'!F75</f>
        <v>1</v>
      </c>
      <c r="I157" s="242">
        <f>'FCAS-PROXY'!K75</f>
        <v>21</v>
      </c>
      <c r="J157" s="254"/>
    </row>
    <row r="158" spans="1:11" x14ac:dyDescent="0.2">
      <c r="A158" s="670">
        <v>158</v>
      </c>
      <c r="C158" s="14" t="str">
        <f>VLOOKUP(WEEKDAY(C157,1),TABLAS!$D$50:$E$56,2)</f>
        <v>LUNES</v>
      </c>
      <c r="E158" s="14"/>
      <c r="F158" s="14" t="str">
        <f>VLOOKUP(WEEKDAY(F157,1),TABLAS!$D$50:$E$56,2)</f>
        <v>SABADO</v>
      </c>
      <c r="I158" s="242"/>
      <c r="J158" s="270"/>
    </row>
    <row r="159" spans="1:11" x14ac:dyDescent="0.2">
      <c r="A159" s="670">
        <v>159</v>
      </c>
      <c r="B159" t="s">
        <v>111</v>
      </c>
      <c r="D159" s="14" t="s">
        <v>56</v>
      </c>
      <c r="E159" s="275"/>
      <c r="G159" s="14"/>
      <c r="I159" s="254"/>
      <c r="J159" s="254"/>
    </row>
    <row r="160" spans="1:11" x14ac:dyDescent="0.2">
      <c r="A160" s="670">
        <v>160</v>
      </c>
      <c r="B160" t="s">
        <v>112</v>
      </c>
      <c r="C160" s="272">
        <f>FIPROY</f>
        <v>43010</v>
      </c>
      <c r="D160" s="667">
        <f>'FCAS-PROXY'!D76</f>
        <v>30</v>
      </c>
      <c r="F160" s="276">
        <f>(C160+D160)</f>
        <v>43040</v>
      </c>
      <c r="G160" s="666">
        <f>'FCAS-PROXY'!E76</f>
        <v>5</v>
      </c>
      <c r="H160" s="587">
        <f>'FCAS-PROXY'!F76</f>
        <v>1</v>
      </c>
      <c r="I160" s="242">
        <f>'FCAS-PROXY'!K76</f>
        <v>21</v>
      </c>
      <c r="J160" s="254"/>
    </row>
    <row r="161" spans="1:11" x14ac:dyDescent="0.2">
      <c r="A161" s="670">
        <v>161</v>
      </c>
      <c r="B161" t="s">
        <v>113</v>
      </c>
      <c r="C161" s="14" t="str">
        <f>VLOOKUP(WEEKDAY(C160,1),TABLAS!$D$50:$E$56,2)</f>
        <v>LUNES</v>
      </c>
      <c r="F161" s="14" t="str">
        <f>VLOOKUP(WEEKDAY(F160,1),TABLAS!$D$50:$E$56,2)</f>
        <v>MIERCOLES</v>
      </c>
    </row>
    <row r="162" spans="1:11" x14ac:dyDescent="0.2">
      <c r="A162" s="670">
        <v>162</v>
      </c>
      <c r="D162" s="14" t="s">
        <v>56</v>
      </c>
      <c r="G162" s="248"/>
    </row>
    <row r="163" spans="1:11" x14ac:dyDescent="0.2">
      <c r="A163" s="670">
        <v>163</v>
      </c>
      <c r="B163" t="s">
        <v>114</v>
      </c>
      <c r="C163" s="272">
        <f>FIPROY</f>
        <v>43010</v>
      </c>
      <c r="D163" s="667">
        <f>'FCAS-PROXY'!D77</f>
        <v>30</v>
      </c>
      <c r="F163" s="276">
        <f>(C163+D163)</f>
        <v>43040</v>
      </c>
      <c r="G163" s="666">
        <f>'FCAS-PROXY'!E77</f>
        <v>5</v>
      </c>
      <c r="H163" s="587">
        <f>'FCAS-PROXY'!F77</f>
        <v>1</v>
      </c>
      <c r="I163" s="242">
        <f>'FCAS-PROXY'!K77</f>
        <v>35</v>
      </c>
      <c r="K163" s="244"/>
    </row>
    <row r="164" spans="1:11" x14ac:dyDescent="0.2">
      <c r="A164" s="670">
        <v>164</v>
      </c>
      <c r="C164" s="14" t="str">
        <f>VLOOKUP(WEEKDAY(C163,1),TABLAS!$D$50:$E$56,2)</f>
        <v>LUNES</v>
      </c>
      <c r="F164" s="14" t="str">
        <f>VLOOKUP(WEEKDAY(F163,1),TABLAS!$D$50:$E$56,2)</f>
        <v>MIERCOLES</v>
      </c>
      <c r="G164" s="271"/>
    </row>
    <row r="165" spans="1:11" x14ac:dyDescent="0.2">
      <c r="A165" s="670">
        <v>165</v>
      </c>
      <c r="G165" s="274"/>
      <c r="I165" s="50"/>
    </row>
    <row r="166" spans="1:11" x14ac:dyDescent="0.2">
      <c r="A166" s="670">
        <v>166</v>
      </c>
      <c r="B166" s="14">
        <v>44</v>
      </c>
      <c r="C166" t="s">
        <v>115</v>
      </c>
      <c r="I166" s="281">
        <f>CALCULOS!K126</f>
        <v>68.010000000000005</v>
      </c>
      <c r="J166" s="281">
        <f>CALCULOS!H126</f>
        <v>14.46</v>
      </c>
      <c r="K166" s="291">
        <f>(I166+J166)</f>
        <v>82.47</v>
      </c>
    </row>
    <row r="167" spans="1:11" x14ac:dyDescent="0.2">
      <c r="A167" s="670">
        <v>167</v>
      </c>
      <c r="F167" s="60"/>
    </row>
    <row r="168" spans="1:11" x14ac:dyDescent="0.2">
      <c r="A168" s="670">
        <v>168</v>
      </c>
      <c r="B168" s="14">
        <v>45</v>
      </c>
      <c r="C168" t="s">
        <v>116</v>
      </c>
      <c r="F168" s="60"/>
      <c r="I168" s="291">
        <f>CALCULOS!I175</f>
        <v>141.536</v>
      </c>
      <c r="K168" s="291">
        <f>I168+J168</f>
        <v>141.536</v>
      </c>
    </row>
    <row r="169" spans="1:11" x14ac:dyDescent="0.2">
      <c r="A169" s="670">
        <v>169</v>
      </c>
      <c r="F169" s="60"/>
    </row>
    <row r="170" spans="1:11" x14ac:dyDescent="0.2">
      <c r="A170" s="670">
        <v>170</v>
      </c>
      <c r="B170" s="14">
        <v>47</v>
      </c>
      <c r="C170" t="s">
        <v>117</v>
      </c>
      <c r="F170" s="60"/>
      <c r="H170" s="587">
        <f>'FCAS-PROXY'!D78</f>
        <v>0</v>
      </c>
      <c r="I170" s="281">
        <f>CALCULOS!G276</f>
        <v>111.48</v>
      </c>
      <c r="K170" s="291">
        <f>I170</f>
        <v>111.48</v>
      </c>
    </row>
    <row r="171" spans="1:11" x14ac:dyDescent="0.2">
      <c r="A171" s="670">
        <v>171</v>
      </c>
    </row>
    <row r="172" spans="1:11" x14ac:dyDescent="0.2">
      <c r="A172" s="670">
        <v>172</v>
      </c>
      <c r="B172" s="648" t="s">
        <v>118</v>
      </c>
      <c r="C172" s="182"/>
      <c r="D172" s="182"/>
      <c r="E172" s="182"/>
      <c r="F172" s="182"/>
      <c r="G172" s="182"/>
      <c r="H172" s="182"/>
      <c r="I172" s="182"/>
      <c r="J172" s="182"/>
      <c r="K172" s="724"/>
    </row>
    <row r="173" spans="1:11" x14ac:dyDescent="0.2">
      <c r="A173" s="670">
        <v>173</v>
      </c>
      <c r="B173" s="4"/>
      <c r="C173" s="4"/>
      <c r="D173" s="4"/>
      <c r="E173" s="4"/>
      <c r="F173" s="4"/>
      <c r="G173" s="4"/>
      <c r="H173" s="4"/>
      <c r="I173" s="4"/>
      <c r="J173" s="4"/>
      <c r="K173" s="714"/>
    </row>
    <row r="174" spans="1:11" x14ac:dyDescent="0.2">
      <c r="A174" s="670">
        <v>174</v>
      </c>
      <c r="B174" s="183" t="s">
        <v>74</v>
      </c>
      <c r="C174" s="733" t="s">
        <v>75</v>
      </c>
      <c r="D174" s="733"/>
      <c r="E174" s="733"/>
      <c r="F174" s="733"/>
      <c r="G174" s="733"/>
      <c r="H174" s="183"/>
      <c r="I174" s="184" t="s">
        <v>76</v>
      </c>
      <c r="J174" s="183" t="s">
        <v>77</v>
      </c>
      <c r="K174" s="725" t="s">
        <v>1</v>
      </c>
    </row>
    <row r="175" spans="1:11" x14ac:dyDescent="0.2">
      <c r="A175" s="670">
        <v>175</v>
      </c>
    </row>
    <row r="176" spans="1:11" x14ac:dyDescent="0.2">
      <c r="A176" s="670">
        <v>176</v>
      </c>
      <c r="B176" s="14">
        <v>49</v>
      </c>
      <c r="C176" t="s">
        <v>119</v>
      </c>
      <c r="K176" s="244">
        <f>(CALCULOS!G291+CALCULOS!G300)/TDT</f>
        <v>0.3</v>
      </c>
    </row>
    <row r="177" spans="1:11" x14ac:dyDescent="0.2">
      <c r="A177" s="670">
        <v>177</v>
      </c>
    </row>
    <row r="178" spans="1:11" x14ac:dyDescent="0.2">
      <c r="A178" s="670">
        <v>178</v>
      </c>
      <c r="D178" s="18" t="s">
        <v>120</v>
      </c>
      <c r="E178" s="587">
        <f>'FCAS-PROXY'!D81</f>
        <v>1</v>
      </c>
      <c r="G178" s="338" t="str">
        <f>VLOOKUP(E178,TABLAS!D86:I90,3)</f>
        <v>CLASE I</v>
      </c>
    </row>
    <row r="179" spans="1:11" x14ac:dyDescent="0.2">
      <c r="A179" s="670">
        <v>179</v>
      </c>
    </row>
    <row r="180" spans="1:11" x14ac:dyDescent="0.2">
      <c r="A180" s="670">
        <v>180</v>
      </c>
      <c r="D180" s="18" t="s">
        <v>121</v>
      </c>
      <c r="E180" s="587">
        <f>'FCAS-PROXY'!D82</f>
        <v>3</v>
      </c>
    </row>
    <row r="181" spans="1:11" x14ac:dyDescent="0.2">
      <c r="A181" s="670">
        <v>181</v>
      </c>
    </row>
    <row r="182" spans="1:11" x14ac:dyDescent="0.2">
      <c r="A182" s="670">
        <v>182</v>
      </c>
      <c r="B182" s="14">
        <v>50</v>
      </c>
      <c r="C182" s="4" t="s">
        <v>122</v>
      </c>
      <c r="K182" s="244">
        <f>(CALCULOS!G314/TDT)</f>
        <v>1.8</v>
      </c>
    </row>
    <row r="183" spans="1:11" x14ac:dyDescent="0.2">
      <c r="A183" s="670">
        <v>183</v>
      </c>
    </row>
    <row r="184" spans="1:11" x14ac:dyDescent="0.2">
      <c r="A184" s="670">
        <v>184</v>
      </c>
      <c r="B184" s="14">
        <v>51</v>
      </c>
      <c r="C184" s="4" t="s">
        <v>123</v>
      </c>
      <c r="K184" s="244">
        <f>IF(OR(D31=1,D31=TRUE),0,CALCULOS!J345)</f>
        <v>0</v>
      </c>
    </row>
    <row r="185" spans="1:11" x14ac:dyDescent="0.2">
      <c r="A185" s="670">
        <v>185</v>
      </c>
    </row>
    <row r="186" spans="1:11" x14ac:dyDescent="0.2">
      <c r="A186" s="670">
        <v>186</v>
      </c>
      <c r="B186" s="14">
        <v>52</v>
      </c>
      <c r="C186" t="s">
        <v>124</v>
      </c>
      <c r="H186" s="587">
        <f>'FCAS-PROXY'!D83</f>
        <v>1</v>
      </c>
      <c r="K186" s="244">
        <f>IF(OR(H186=1,H186=TRUE),CALCULOS!J347,0)</f>
        <v>21.94</v>
      </c>
    </row>
    <row r="187" spans="1:11" x14ac:dyDescent="0.2">
      <c r="A187" s="670">
        <v>187</v>
      </c>
    </row>
    <row r="188" spans="1:11" x14ac:dyDescent="0.2">
      <c r="A188" s="670">
        <v>188</v>
      </c>
      <c r="B188" s="14">
        <v>53</v>
      </c>
      <c r="C188" t="s">
        <v>125</v>
      </c>
      <c r="K188" s="244">
        <f>CALCULOS!G353</f>
        <v>1</v>
      </c>
    </row>
    <row r="189" spans="1:11" x14ac:dyDescent="0.2">
      <c r="A189" s="670">
        <v>189</v>
      </c>
    </row>
    <row r="190" spans="1:11" x14ac:dyDescent="0.2">
      <c r="A190" s="670">
        <v>190</v>
      </c>
      <c r="B190" s="14">
        <v>54</v>
      </c>
      <c r="C190" t="s">
        <v>126</v>
      </c>
      <c r="G190" s="587">
        <f>'FCAS-PROXY'!D84</f>
        <v>1</v>
      </c>
      <c r="K190" s="244">
        <f>IF(OR(G190=1,G190=TRUE),CALCULOS!G365,0)</f>
        <v>54.6357</v>
      </c>
    </row>
    <row r="191" spans="1:11" x14ac:dyDescent="0.2">
      <c r="A191" s="670">
        <v>191</v>
      </c>
    </row>
    <row r="192" spans="1:11" x14ac:dyDescent="0.2">
      <c r="A192" s="670">
        <v>192</v>
      </c>
      <c r="B192" s="14">
        <v>55</v>
      </c>
      <c r="C192" t="s">
        <v>127</v>
      </c>
      <c r="G192" s="472" t="s">
        <v>128</v>
      </c>
      <c r="K192" s="244">
        <f>IF(OR(H131=1,H131=TRUE),0,IF(OR(G192=1,G192=TRUE),(((CALCULOS!K68+CALCULOS!K70)/TDT)/SBP),0))</f>
        <v>0</v>
      </c>
    </row>
    <row r="193" spans="1:11" x14ac:dyDescent="0.2">
      <c r="A193" s="670">
        <v>193</v>
      </c>
    </row>
    <row r="194" spans="1:11" x14ac:dyDescent="0.2">
      <c r="A194" s="670">
        <v>194</v>
      </c>
      <c r="B194" s="14">
        <v>56</v>
      </c>
      <c r="C194" t="s">
        <v>129</v>
      </c>
      <c r="G194" s="587">
        <f>'FCAS-PROXY'!D85</f>
        <v>1</v>
      </c>
      <c r="K194" s="244">
        <f>IF(OR(G194=1,G194=TRUE),((CALCULOS!F389+CALCULOS!K391+CALCULOS!K386+CALCULOS!F391)/TDT)/SBP,0)</f>
        <v>168.76400000000001</v>
      </c>
    </row>
    <row r="195" spans="1:11" x14ac:dyDescent="0.2">
      <c r="A195" s="670">
        <v>195</v>
      </c>
    </row>
    <row r="196" spans="1:11" x14ac:dyDescent="0.2">
      <c r="A196" s="670">
        <v>196</v>
      </c>
      <c r="B196" s="14">
        <v>58</v>
      </c>
      <c r="C196" t="s">
        <v>130</v>
      </c>
      <c r="K196" s="244">
        <f>CALCULOS!G413</f>
        <v>547.03</v>
      </c>
    </row>
    <row r="197" spans="1:11" x14ac:dyDescent="0.2">
      <c r="A197" s="670">
        <v>197</v>
      </c>
    </row>
    <row r="198" spans="1:11" x14ac:dyDescent="0.2">
      <c r="A198" s="670">
        <v>198</v>
      </c>
      <c r="B198" s="14">
        <v>59</v>
      </c>
      <c r="C198" t="s">
        <v>131</v>
      </c>
      <c r="K198" s="244">
        <f>CALCULOS!G423</f>
        <v>13.53</v>
      </c>
    </row>
    <row r="199" spans="1:11" x14ac:dyDescent="0.2">
      <c r="A199" s="670">
        <v>199</v>
      </c>
      <c r="J199" s="383"/>
    </row>
    <row r="200" spans="1:11" x14ac:dyDescent="0.2">
      <c r="A200" s="670">
        <v>200</v>
      </c>
      <c r="B200" s="14">
        <v>60</v>
      </c>
      <c r="C200" s="4" t="s">
        <v>132</v>
      </c>
      <c r="K200" s="244">
        <f>IF(E66&gt;0,(VARIABLES!C138)/SBP,0)</f>
        <v>23.917100000000001</v>
      </c>
    </row>
    <row r="201" spans="1:11" x14ac:dyDescent="0.2">
      <c r="A201" s="670">
        <v>201</v>
      </c>
      <c r="B201" s="14"/>
    </row>
    <row r="202" spans="1:11" x14ac:dyDescent="0.2">
      <c r="A202" s="670">
        <v>202</v>
      </c>
      <c r="B202" s="14">
        <v>61</v>
      </c>
      <c r="C202" t="s">
        <v>133</v>
      </c>
      <c r="G202" s="587">
        <f>'FCAS-PROXY'!D86</f>
        <v>1</v>
      </c>
      <c r="K202" s="244">
        <f>IF(OR(G202=1,G202=TRUE),(((ROUND(((10/100)*TDT),0)*VARIABLES!C146)/TDT)/SBP),0)</f>
        <v>7.8585000000000003</v>
      </c>
    </row>
    <row r="203" spans="1:11" x14ac:dyDescent="0.2">
      <c r="A203" s="670">
        <v>203</v>
      </c>
      <c r="B203" s="14"/>
    </row>
    <row r="204" spans="1:11" x14ac:dyDescent="0.2">
      <c r="A204" s="670">
        <v>204</v>
      </c>
      <c r="B204" s="14">
        <v>62</v>
      </c>
      <c r="C204" t="s">
        <v>134</v>
      </c>
      <c r="G204" s="587">
        <f>'FCAS-PROXY'!D87</f>
        <v>0</v>
      </c>
      <c r="K204" s="244">
        <f>IF(OR(G204=1,G204=TRUE),((VARIABLES!C150/TDT)/SBP),0)</f>
        <v>0</v>
      </c>
    </row>
    <row r="205" spans="1:11" x14ac:dyDescent="0.2">
      <c r="A205" s="670">
        <v>205</v>
      </c>
      <c r="B205" s="14"/>
    </row>
    <row r="206" spans="1:11" x14ac:dyDescent="0.2">
      <c r="A206" s="670">
        <v>206</v>
      </c>
      <c r="B206" s="14">
        <v>63</v>
      </c>
      <c r="C206" t="s">
        <v>135</v>
      </c>
      <c r="G206" s="587">
        <f>'FCAS-PROXY'!D88</f>
        <v>1</v>
      </c>
      <c r="K206" s="244">
        <f>IF(OR(G206=1,G206=TRUE),(((TOM*VARIABLES!C154)/TDT)/SBP),0)</f>
        <v>1563.4929999999999</v>
      </c>
    </row>
    <row r="207" spans="1:11" x14ac:dyDescent="0.2">
      <c r="A207" s="670">
        <v>207</v>
      </c>
      <c r="B207" s="14"/>
    </row>
    <row r="208" spans="1:11" x14ac:dyDescent="0.2">
      <c r="A208" s="670">
        <v>208</v>
      </c>
      <c r="B208" s="14">
        <v>64</v>
      </c>
      <c r="C208" t="s">
        <v>136</v>
      </c>
    </row>
    <row r="209" spans="1:11" x14ac:dyDescent="0.2">
      <c r="A209" s="670">
        <v>209</v>
      </c>
      <c r="B209" s="14"/>
    </row>
    <row r="210" spans="1:11" x14ac:dyDescent="0.2">
      <c r="A210" s="670">
        <v>210</v>
      </c>
      <c r="B210" s="14"/>
      <c r="C210" s="14" t="s">
        <v>109</v>
      </c>
      <c r="D210" s="14" t="s">
        <v>56</v>
      </c>
      <c r="E210" s="14"/>
      <c r="F210" s="14" t="s">
        <v>110</v>
      </c>
      <c r="G210" s="14" t="s">
        <v>43</v>
      </c>
    </row>
    <row r="211" spans="1:11" x14ac:dyDescent="0.2">
      <c r="A211" s="670">
        <v>211</v>
      </c>
      <c r="B211" s="14"/>
      <c r="C211" s="272">
        <f>FIPROY</f>
        <v>43010</v>
      </c>
      <c r="D211" s="667">
        <f>'FCAS-PROXY'!D89</f>
        <v>30</v>
      </c>
      <c r="E211" s="14"/>
      <c r="F211" s="273">
        <f>(C211+D211)</f>
        <v>43040</v>
      </c>
      <c r="G211" s="666">
        <f>'FCAS-PROXY'!E89</f>
        <v>10</v>
      </c>
      <c r="H211" s="587">
        <f>'FCAS-PROXY'!F89</f>
        <v>1</v>
      </c>
      <c r="K211" s="244">
        <f>IF(OR(H211=1,H211=TRUE),(((G211*(2+(DPm-2))*VARIABLES!C168)/TDT)/SBP),0)</f>
        <v>288.56779999999998</v>
      </c>
    </row>
    <row r="212" spans="1:11" x14ac:dyDescent="0.2">
      <c r="A212" s="670">
        <v>212</v>
      </c>
      <c r="B212" s="14"/>
      <c r="C212" s="14" t="str">
        <f>VLOOKUP(WEEKDAY(C211,1),TABLAS!$D$50:$E$56,2)</f>
        <v>LUNES</v>
      </c>
      <c r="E212" s="14"/>
      <c r="F212" s="14" t="str">
        <f>VLOOKUP(WEEKDAY(F211,1),TABLAS!$D$50:$E$56,2)</f>
        <v>MIERCOLES</v>
      </c>
    </row>
    <row r="213" spans="1:11" x14ac:dyDescent="0.2">
      <c r="A213" s="670">
        <v>213</v>
      </c>
      <c r="B213" s="14"/>
    </row>
    <row r="214" spans="1:11" x14ac:dyDescent="0.2">
      <c r="A214" s="670">
        <v>214</v>
      </c>
      <c r="B214" s="14">
        <v>65</v>
      </c>
      <c r="C214" t="s">
        <v>137</v>
      </c>
      <c r="H214" s="587">
        <f>'FCAS-PROXY'!D90</f>
        <v>1</v>
      </c>
      <c r="I214" s="4" t="s">
        <v>138</v>
      </c>
      <c r="K214" s="244">
        <f>IF(OR(H214=1,H214=TRUE),((DPm*VARIABLES!C172)/SBP),0)</f>
        <v>328.00549999999998</v>
      </c>
    </row>
    <row r="215" spans="1:11" x14ac:dyDescent="0.2">
      <c r="A215" s="670">
        <v>215</v>
      </c>
      <c r="B215" s="14"/>
    </row>
    <row r="216" spans="1:11" x14ac:dyDescent="0.2">
      <c r="A216" s="670">
        <v>216</v>
      </c>
      <c r="B216" s="14">
        <v>68</v>
      </c>
      <c r="C216" t="s">
        <v>139</v>
      </c>
      <c r="K216" s="244">
        <f>(((CALCULOS!I427*SBP)*(CALCULOS!D427*DPsem))/TDT)/SBP</f>
        <v>1.04</v>
      </c>
    </row>
    <row r="217" spans="1:11" x14ac:dyDescent="0.2">
      <c r="A217" s="670">
        <v>217</v>
      </c>
      <c r="B217" s="14"/>
    </row>
    <row r="218" spans="1:11" x14ac:dyDescent="0.2">
      <c r="A218" s="670">
        <v>218</v>
      </c>
      <c r="B218" s="14">
        <v>70</v>
      </c>
      <c r="C218" t="s">
        <v>140</v>
      </c>
      <c r="K218" s="244">
        <f>(CALCULOS!F435/TDT)/SBP</f>
        <v>1.1200000000000001</v>
      </c>
    </row>
    <row r="219" spans="1:11" x14ac:dyDescent="0.2">
      <c r="A219" s="670">
        <v>219</v>
      </c>
      <c r="B219" s="14"/>
    </row>
    <row r="220" spans="1:11" x14ac:dyDescent="0.2">
      <c r="A220" s="670">
        <v>220</v>
      </c>
      <c r="B220" s="14">
        <v>72</v>
      </c>
      <c r="C220" t="s">
        <v>141</v>
      </c>
      <c r="E220" s="119" t="s">
        <v>142</v>
      </c>
      <c r="K220" s="244">
        <f>'FCAS-PROXY'!N91</f>
        <v>0</v>
      </c>
    </row>
    <row r="221" spans="1:11" x14ac:dyDescent="0.2">
      <c r="A221" s="670">
        <v>221</v>
      </c>
      <c r="B221" s="14"/>
    </row>
    <row r="222" spans="1:11" x14ac:dyDescent="0.2">
      <c r="A222" s="670">
        <v>222</v>
      </c>
      <c r="B222" s="14">
        <v>74</v>
      </c>
      <c r="C222" s="4" t="s">
        <v>143</v>
      </c>
      <c r="K222" s="244">
        <f>((PERIODOS!F213*(DPm/12))/TDT)/SBP</f>
        <v>5.9999999999999995E-4</v>
      </c>
    </row>
    <row r="223" spans="1:11" x14ac:dyDescent="0.2">
      <c r="A223" s="670">
        <v>223</v>
      </c>
      <c r="B223" s="14"/>
    </row>
    <row r="224" spans="1:11" x14ac:dyDescent="0.2">
      <c r="A224" s="670">
        <v>224</v>
      </c>
      <c r="B224" s="14">
        <v>75</v>
      </c>
      <c r="C224" t="s">
        <v>144</v>
      </c>
      <c r="K224" s="244">
        <f>K222</f>
        <v>5.9999999999999995E-4</v>
      </c>
    </row>
    <row r="225" spans="1:11" x14ac:dyDescent="0.2">
      <c r="A225" s="670">
        <v>225</v>
      </c>
      <c r="B225" s="14"/>
    </row>
    <row r="226" spans="1:11" x14ac:dyDescent="0.2">
      <c r="A226" s="670">
        <v>226</v>
      </c>
      <c r="B226" s="14">
        <v>76</v>
      </c>
      <c r="C226" t="s">
        <v>145</v>
      </c>
      <c r="K226" s="244">
        <f>K224</f>
        <v>5.9999999999999995E-4</v>
      </c>
    </row>
    <row r="227" spans="1:11" x14ac:dyDescent="0.2">
      <c r="A227" s="670">
        <v>227</v>
      </c>
      <c r="B227" s="14"/>
    </row>
    <row r="228" spans="1:11" x14ac:dyDescent="0.2">
      <c r="A228" s="670">
        <v>228</v>
      </c>
      <c r="B228" s="14">
        <v>77</v>
      </c>
      <c r="C228" s="4" t="s">
        <v>146</v>
      </c>
      <c r="K228" s="244">
        <f>(PERIODOS!H226/TDT)/SBP</f>
        <v>6.9999999999999999E-4</v>
      </c>
    </row>
    <row r="229" spans="1:11" x14ac:dyDescent="0.2">
      <c r="A229" s="670">
        <v>229</v>
      </c>
      <c r="B229" s="14"/>
    </row>
    <row r="230" spans="1:11" x14ac:dyDescent="0.2">
      <c r="A230" s="670">
        <v>230</v>
      </c>
      <c r="B230" s="14">
        <v>78</v>
      </c>
      <c r="C230" s="4" t="s">
        <v>147</v>
      </c>
      <c r="K230" s="244">
        <f>(PERIODOS!H233/TDT)/SBP</f>
        <v>8.9999999999999998E-4</v>
      </c>
    </row>
    <row r="231" spans="1:11" x14ac:dyDescent="0.2">
      <c r="A231" s="670">
        <v>231</v>
      </c>
      <c r="B231" s="14"/>
    </row>
    <row r="232" spans="1:11" x14ac:dyDescent="0.2">
      <c r="A232" s="670">
        <v>232</v>
      </c>
      <c r="B232" s="648" t="s">
        <v>148</v>
      </c>
      <c r="C232" s="182"/>
      <c r="D232" s="182"/>
      <c r="E232" s="182"/>
      <c r="F232" s="182"/>
      <c r="G232" s="182"/>
      <c r="H232" s="182"/>
      <c r="I232" s="182"/>
      <c r="J232" s="182"/>
      <c r="K232" s="724"/>
    </row>
    <row r="233" spans="1:11" x14ac:dyDescent="0.2">
      <c r="A233" s="670">
        <v>233</v>
      </c>
      <c r="B233" s="4"/>
      <c r="C233" s="4"/>
      <c r="D233" s="4"/>
      <c r="E233" s="4"/>
      <c r="F233" s="4"/>
      <c r="G233" s="4"/>
      <c r="H233" s="4"/>
      <c r="I233" s="4"/>
      <c r="J233" s="4"/>
      <c r="K233" s="714"/>
    </row>
    <row r="234" spans="1:11" x14ac:dyDescent="0.2">
      <c r="A234" s="670">
        <v>234</v>
      </c>
      <c r="B234" s="183" t="s">
        <v>149</v>
      </c>
      <c r="C234" s="733" t="s">
        <v>75</v>
      </c>
      <c r="D234" s="733"/>
      <c r="E234" s="733"/>
      <c r="F234" s="733"/>
      <c r="G234" s="733"/>
      <c r="H234" s="183"/>
      <c r="I234" s="184" t="s">
        <v>76</v>
      </c>
      <c r="J234" s="183" t="s">
        <v>77</v>
      </c>
      <c r="K234" s="725" t="s">
        <v>1</v>
      </c>
    </row>
    <row r="235" spans="1:11" x14ac:dyDescent="0.2">
      <c r="A235" s="670">
        <v>235</v>
      </c>
      <c r="B235" s="14"/>
    </row>
    <row r="236" spans="1:11" ht="12.75" x14ac:dyDescent="0.25">
      <c r="A236" s="670">
        <v>236</v>
      </c>
      <c r="B236" s="14">
        <v>109</v>
      </c>
      <c r="C236" s="466" t="s">
        <v>150</v>
      </c>
      <c r="F236" s="396">
        <f>'FCAS-PROXY'!M94</f>
        <v>0.11</v>
      </c>
      <c r="G236" s="4" t="s">
        <v>151</v>
      </c>
      <c r="K236" s="244">
        <f>(SBP*F236*TDP)/SBP</f>
        <v>40.15</v>
      </c>
    </row>
    <row r="237" spans="1:11" x14ac:dyDescent="0.2">
      <c r="A237" s="670">
        <v>237</v>
      </c>
      <c r="B237" s="14"/>
    </row>
    <row r="238" spans="1:11" x14ac:dyDescent="0.2">
      <c r="A238" s="670">
        <v>238</v>
      </c>
      <c r="B238" s="14">
        <v>46</v>
      </c>
      <c r="C238" s="4" t="s">
        <v>152</v>
      </c>
      <c r="F238" s="396">
        <f>'FCAS-PROXY'!M95</f>
        <v>0.02</v>
      </c>
      <c r="K238" s="244">
        <f>(SBP*F238*TDP)/SBP</f>
        <v>7.3</v>
      </c>
    </row>
    <row r="239" spans="1:11" x14ac:dyDescent="0.2">
      <c r="A239" s="670">
        <v>239</v>
      </c>
    </row>
    <row r="240" spans="1:11" x14ac:dyDescent="0.2">
      <c r="A240" s="670">
        <v>240</v>
      </c>
      <c r="B240" s="14">
        <v>36</v>
      </c>
      <c r="C240" t="s">
        <v>153</v>
      </c>
      <c r="F240" s="396">
        <f>'FCAS-PROXY'!M96</f>
        <v>0.02</v>
      </c>
      <c r="K240" s="244">
        <f>(SBP*F240*TDP)/SBP</f>
        <v>7.3</v>
      </c>
    </row>
    <row r="241" spans="1:11" x14ac:dyDescent="0.2">
      <c r="A241" s="670">
        <v>241</v>
      </c>
    </row>
    <row r="242" spans="1:11" x14ac:dyDescent="0.2">
      <c r="A242" s="670">
        <v>242</v>
      </c>
      <c r="B242" s="14">
        <v>15</v>
      </c>
      <c r="C242" s="4" t="s">
        <v>154</v>
      </c>
      <c r="F242" s="396">
        <f>'FCAS-PROXY'!M97</f>
        <v>0.02</v>
      </c>
      <c r="K242" s="244">
        <f>(SBP*F242*TDP)/SBP</f>
        <v>7.3</v>
      </c>
    </row>
    <row r="243" spans="1:11" x14ac:dyDescent="0.2">
      <c r="A243" s="670">
        <v>243</v>
      </c>
    </row>
    <row r="244" spans="1:11" x14ac:dyDescent="0.2">
      <c r="A244" s="670">
        <v>244</v>
      </c>
      <c r="B244" s="648" t="s">
        <v>155</v>
      </c>
      <c r="C244" s="182"/>
      <c r="D244" s="182"/>
      <c r="E244" s="182"/>
      <c r="F244" s="182"/>
      <c r="G244" s="182"/>
      <c r="H244" s="182"/>
      <c r="I244" s="182"/>
      <c r="J244" s="182"/>
      <c r="K244" s="724"/>
    </row>
    <row r="245" spans="1:11" x14ac:dyDescent="0.2">
      <c r="A245" s="670">
        <v>245</v>
      </c>
    </row>
    <row r="246" spans="1:11" x14ac:dyDescent="0.2">
      <c r="A246" s="670">
        <v>246</v>
      </c>
      <c r="I246" s="18" t="s">
        <v>156</v>
      </c>
      <c r="J246" s="241">
        <f>(J104+J106+J110+J118+J126+J141+J166)</f>
        <v>14.98</v>
      </c>
    </row>
    <row r="247" spans="1:11" x14ac:dyDescent="0.2">
      <c r="A247" s="670">
        <v>247</v>
      </c>
    </row>
    <row r="248" spans="1:11" x14ac:dyDescent="0.2">
      <c r="A248" s="670">
        <v>248</v>
      </c>
      <c r="I248" s="18" t="s">
        <v>157</v>
      </c>
      <c r="K248" s="244">
        <f>(K90+K96+K98+K100+K102+K104+K106+K108+K110+K113+K116+K118+K120+K122+K124+K126+K131+K139+K141+K154+K166+K168+K170+K176+K182+K184+K186+K188+K190+K192+K194+K196+K198+K200+K202+K204+K206+K211+K214+K216+K218+K220+K222+K224+K226+K228+K230+K236+K238+K240+K242)</f>
        <v>3983.9250999999999</v>
      </c>
    </row>
    <row r="249" spans="1:11" x14ac:dyDescent="0.2">
      <c r="A249" s="670">
        <v>249</v>
      </c>
    </row>
    <row r="250" spans="1:11" x14ac:dyDescent="0.2">
      <c r="A250" s="670">
        <v>250</v>
      </c>
    </row>
    <row r="251" spans="1:11" x14ac:dyDescent="0.2">
      <c r="A251" s="670">
        <v>251</v>
      </c>
      <c r="J251" s="18" t="s">
        <v>158</v>
      </c>
      <c r="K251" s="244">
        <f>TDP</f>
        <v>365</v>
      </c>
    </row>
    <row r="252" spans="1:11" x14ac:dyDescent="0.2">
      <c r="A252" s="670">
        <v>252</v>
      </c>
    </row>
    <row r="253" spans="1:11" x14ac:dyDescent="0.2">
      <c r="A253" s="670">
        <v>253</v>
      </c>
      <c r="J253" s="18" t="s">
        <v>159</v>
      </c>
      <c r="K253" s="244">
        <f>(K248+K251)</f>
        <v>4348.9251000000004</v>
      </c>
    </row>
    <row r="254" spans="1:11" x14ac:dyDescent="0.2">
      <c r="A254" s="670">
        <v>254</v>
      </c>
    </row>
    <row r="255" spans="1:11" x14ac:dyDescent="0.2">
      <c r="A255" s="670">
        <v>255</v>
      </c>
      <c r="J255" s="18" t="s">
        <v>70</v>
      </c>
      <c r="K255" s="244">
        <f>TDET</f>
        <v>231.72</v>
      </c>
    </row>
    <row r="256" spans="1:11" x14ac:dyDescent="0.2">
      <c r="A256" s="670">
        <v>256</v>
      </c>
    </row>
    <row r="257" spans="1:11" ht="12" x14ac:dyDescent="0.2">
      <c r="A257" s="670">
        <v>257</v>
      </c>
      <c r="B257" s="398"/>
      <c r="C257" s="398"/>
      <c r="D257" s="398"/>
      <c r="E257" s="398"/>
      <c r="F257" s="398"/>
      <c r="G257" s="398"/>
      <c r="H257" s="398"/>
      <c r="I257" s="398"/>
      <c r="J257" s="467" t="str">
        <f>"FACTOR DE COSTOS ASOCIADOS AL SALARIO CALCULADO SEGÚN OPCIONES INDICADAS "&amp;IF($H$131,"(INCLUYE CAMPAMENTO) ","")&amp;IF($I$96&lt;&gt;0,"(CON BONO)","(SIN BONO)")</f>
        <v>FACTOR DE COSTOS ASOCIADOS AL SALARIO CALCULADO SEGÚN OPCIONES INDICADAS (CON BONO)</v>
      </c>
      <c r="K257" s="731">
        <f>(K253/K255)-1</f>
        <v>17.768000000000001</v>
      </c>
    </row>
    <row r="258" spans="1:11" x14ac:dyDescent="0.2">
      <c r="A258" s="670">
        <v>258</v>
      </c>
    </row>
    <row r="259" spans="1:11" x14ac:dyDescent="0.2">
      <c r="A259" s="670">
        <v>259</v>
      </c>
    </row>
    <row r="260" spans="1:11" x14ac:dyDescent="0.2">
      <c r="A260" s="670">
        <v>260</v>
      </c>
      <c r="E260" s="171"/>
      <c r="F260" s="24"/>
    </row>
    <row r="261" spans="1:11" x14ac:dyDescent="0.2">
      <c r="A261" s="670">
        <v>261</v>
      </c>
      <c r="E261" s="171"/>
      <c r="F261" s="24"/>
    </row>
    <row r="262" spans="1:11" x14ac:dyDescent="0.2">
      <c r="A262" s="670">
        <v>262</v>
      </c>
    </row>
    <row r="263" spans="1:11" x14ac:dyDescent="0.2">
      <c r="A263" s="670">
        <v>263</v>
      </c>
    </row>
    <row r="264" spans="1:11" x14ac:dyDescent="0.2">
      <c r="A264" s="670">
        <v>264</v>
      </c>
      <c r="B264" s="743" t="s">
        <v>160</v>
      </c>
      <c r="C264" s="744"/>
      <c r="D264" s="744"/>
      <c r="E264" s="744"/>
      <c r="F264" s="744"/>
      <c r="G264" s="744"/>
      <c r="H264" s="744"/>
      <c r="I264" s="744"/>
      <c r="J264" s="744"/>
      <c r="K264" s="744"/>
    </row>
    <row r="265" spans="1:11" x14ac:dyDescent="0.2">
      <c r="A265" s="670">
        <v>265</v>
      </c>
      <c r="B265" s="745"/>
      <c r="C265" s="745"/>
      <c r="D265" s="745"/>
      <c r="E265" s="745"/>
      <c r="F265" s="745"/>
      <c r="G265" s="745"/>
      <c r="H265" s="745"/>
      <c r="I265" s="745"/>
      <c r="J265" s="745"/>
      <c r="K265" s="745"/>
    </row>
    <row r="266" spans="1:11" x14ac:dyDescent="0.2">
      <c r="A266" s="670">
        <v>266</v>
      </c>
      <c r="B266" s="4"/>
      <c r="C266" s="4"/>
      <c r="D266" s="4"/>
      <c r="E266" s="4"/>
      <c r="F266" s="4"/>
      <c r="G266" s="4"/>
      <c r="H266" s="4"/>
      <c r="I266" s="4"/>
      <c r="J266" s="4"/>
      <c r="K266" s="714"/>
    </row>
    <row r="267" spans="1:11" ht="12" x14ac:dyDescent="0.2">
      <c r="A267" s="670">
        <v>267</v>
      </c>
      <c r="B267" s="5"/>
      <c r="C267" s="746" t="s">
        <v>161</v>
      </c>
      <c r="D267" s="746"/>
      <c r="E267" s="746"/>
      <c r="F267" s="746"/>
      <c r="G267" s="746"/>
      <c r="H267" s="747">
        <f>((((((VARIABLES!C33*VUT))/SBP)*(PERIODOS!$J$41*30))+(K90+K98+K100+K102+K104+K106+K108+K110+K113+K116+K118+K120+K122+K124+K126+K139+K141+K154+K166+K168+K170+K176+K182+K184+K186+K188+K190+K192+K194+K196+K198+K200+K202+K204+K206+K211+K214+K216+K218+K220+K222+K224+K226+K228+K230+K236+K238+K240+K242)+TDP)/K255)-1</f>
        <v>17.768000000000001</v>
      </c>
      <c r="I267" s="748"/>
      <c r="J267" s="6"/>
      <c r="K267" s="726"/>
    </row>
    <row r="268" spans="1:11" x14ac:dyDescent="0.2">
      <c r="A268" s="670">
        <v>268</v>
      </c>
      <c r="B268" s="5"/>
      <c r="C268" s="8"/>
      <c r="D268" s="8"/>
      <c r="E268" s="8"/>
      <c r="F268" s="8"/>
      <c r="G268" s="8"/>
      <c r="H268" s="4"/>
      <c r="I268" s="4"/>
      <c r="J268" s="6"/>
      <c r="K268" s="715"/>
    </row>
    <row r="269" spans="1:11" ht="11.25" customHeight="1" x14ac:dyDescent="0.2">
      <c r="A269" s="670">
        <v>269</v>
      </c>
      <c r="B269" s="9"/>
      <c r="C269" s="746" t="s">
        <v>162</v>
      </c>
      <c r="D269" s="746"/>
      <c r="E269" s="746"/>
      <c r="F269" s="746"/>
      <c r="G269" s="746"/>
      <c r="H269" s="747">
        <f>(((K90+K98+K100+K102+K104+K106+K108+K110+K113+K116+K118+K120+K122+K124+K126+K139+K141+K154+K166+K168+K170+K176+K182+K184+K186+K188+K190+K192+K194+K196+K198+K200+K202+K204+K206+K211+K214+K216+K218+K220+K222+K224+K226+K228+K230+K236+K238+K240+K242)+TDP)/K255)-1</f>
        <v>15.7934</v>
      </c>
      <c r="I269" s="748"/>
      <c r="J269" s="10"/>
      <c r="K269" s="727"/>
    </row>
    <row r="270" spans="1:11" x14ac:dyDescent="0.2">
      <c r="A270" s="670">
        <v>270</v>
      </c>
      <c r="B270" s="9"/>
      <c r="C270" s="8"/>
      <c r="D270" s="8"/>
      <c r="E270" s="8"/>
      <c r="F270" s="8"/>
      <c r="G270" s="8"/>
      <c r="H270" s="10"/>
      <c r="I270" s="12"/>
      <c r="J270" s="4"/>
      <c r="K270" s="714"/>
    </row>
    <row r="271" spans="1:11" ht="12" x14ac:dyDescent="0.2">
      <c r="A271" s="670">
        <v>271</v>
      </c>
      <c r="B271" s="5"/>
      <c r="C271" s="746" t="s">
        <v>163</v>
      </c>
      <c r="D271" s="746"/>
      <c r="E271" s="746"/>
      <c r="F271" s="746"/>
      <c r="G271" s="746"/>
      <c r="H271" s="747">
        <f>((((((CALCULOS!J91+CALCULOS!J93+CALCULOS!J95+CALCULOS!J97)/1)/TDT)/SBP)+(K90+K98+K100+K102+K104+K106+K108+K110+K113+K116+K118+K120+K122+K124+K126+K139+K141+K154+K166+K168+K170+K176+K182+K184+K186+K188+K190+K192+K194+K196+K198+K200+K202+K204+K206+K211+K214+K216+K218+K220+K222+K224+K226+K228+K230+K236+K238+K240+K242)+TDP)/K255)-1</f>
        <v>65.628699999999995</v>
      </c>
      <c r="I271" s="748"/>
      <c r="J271" s="4"/>
      <c r="K271" s="714"/>
    </row>
    <row r="272" spans="1:11" x14ac:dyDescent="0.2">
      <c r="A272" s="670">
        <v>272</v>
      </c>
    </row>
    <row r="273" spans="1:11" x14ac:dyDescent="0.2">
      <c r="A273" s="670">
        <v>273</v>
      </c>
      <c r="B273" s="741"/>
      <c r="C273" s="742"/>
      <c r="D273" s="742"/>
      <c r="E273" s="742"/>
      <c r="F273" s="742"/>
      <c r="G273" s="742"/>
      <c r="H273" s="742"/>
      <c r="I273" s="742"/>
      <c r="J273" s="742"/>
      <c r="K273" s="742"/>
    </row>
    <row r="274" spans="1:11" x14ac:dyDescent="0.2">
      <c r="A274" s="670">
        <v>274</v>
      </c>
    </row>
  </sheetData>
  <sheetProtection selectLockedCells="1"/>
  <mergeCells count="17">
    <mergeCell ref="B273:K273"/>
    <mergeCell ref="B264:K265"/>
    <mergeCell ref="C267:G267"/>
    <mergeCell ref="C269:G269"/>
    <mergeCell ref="C271:G271"/>
    <mergeCell ref="H267:I267"/>
    <mergeCell ref="H269:I269"/>
    <mergeCell ref="H271:I271"/>
    <mergeCell ref="C234:G234"/>
    <mergeCell ref="C174:G174"/>
    <mergeCell ref="C137:G137"/>
    <mergeCell ref="C4:H4"/>
    <mergeCell ref="C88:G88"/>
    <mergeCell ref="C94:G94"/>
    <mergeCell ref="C6:H6"/>
    <mergeCell ref="C8:H8"/>
    <mergeCell ref="D25:F25"/>
  </mergeCells>
  <phoneticPr fontId="0" type="noConversion"/>
  <dataValidations count="5">
    <dataValidation type="date" allowBlank="1" showInputMessage="1" showErrorMessage="1" errorTitle="ERROR EN FECHA" error="LA FECHA DEBE ESTAR DENTRO DE LA FECHA DE INICIO Y FIN DEL PROYECTO" sqref="F211">
      <formula1>G74</formula1>
      <formula2>L74</formula2>
    </dataValidation>
    <dataValidation type="date" allowBlank="1" showInputMessage="1" showErrorMessage="1" errorTitle="ERROR EN FECHA" error="LA FECHA DEBE ESTAR DENTRO DE LA FECHA DE INICIO Y FIN DEL PROYECTO" sqref="C157 F157 C163 C160 C211">
      <formula1>D18</formula1>
      <formula2>I18</formula2>
    </dataValidation>
    <dataValidation type="list" allowBlank="1" showInputMessage="1" showErrorMessage="1" sqref="C148">
      <formula1>$C$143:$C$144</formula1>
    </dataValidation>
    <dataValidation type="list" allowBlank="1" showInputMessage="1" showErrorMessage="1" sqref="F148">
      <formula1>$F$143:$F$146</formula1>
    </dataValidation>
    <dataValidation type="whole" allowBlank="1" showInputMessage="1" showErrorMessage="1" errorTitle="NUMERO MÁXIMO" error="EL MÁXIMO ES DE 30 DIAS" sqref="E113">
      <formula1>0</formula1>
      <formula2>30</formula2>
    </dataValidation>
  </dataValidations>
  <pageMargins left="0.24" right="0.2" top="0.37" bottom="0.42" header="0" footer="0"/>
  <pageSetup scale="47" fitToHeight="3" orientation="portrait" r:id="rId1"/>
  <headerFooter alignWithMargins="0"/>
  <ignoredErrors>
    <ignoredError sqref="C163 C160 C157 C211 C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>
                  <from>
                    <xdr:col>2</xdr:col>
                    <xdr:colOff>0</xdr:colOff>
                    <xdr:row>10</xdr:row>
                    <xdr:rowOff>114300</xdr:rowOff>
                  </from>
                  <to>
                    <xdr:col>3</xdr:col>
                    <xdr:colOff>133350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>
                  <from>
                    <xdr:col>7</xdr:col>
                    <xdr:colOff>0</xdr:colOff>
                    <xdr:row>12</xdr:row>
                    <xdr:rowOff>114300</xdr:rowOff>
                  </from>
                  <to>
                    <xdr:col>8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>
                  <from>
                    <xdr:col>9</xdr:col>
                    <xdr:colOff>28575</xdr:colOff>
                    <xdr:row>14</xdr:row>
                    <xdr:rowOff>114300</xdr:rowOff>
                  </from>
                  <to>
                    <xdr:col>10</xdr:col>
                    <xdr:colOff>142875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Spinner 8">
              <controlPr defaultSize="0" autoPict="0">
                <anchor>
                  <from>
                    <xdr:col>4</xdr:col>
                    <xdr:colOff>723900</xdr:colOff>
                    <xdr:row>16</xdr:row>
                    <xdr:rowOff>95250</xdr:rowOff>
                  </from>
                  <to>
                    <xdr:col>5</xdr:col>
                    <xdr:colOff>104775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Drop Down 14">
              <controlPr defaultSize="0" autoLine="0" autoPict="0">
                <anchor>
                  <from>
                    <xdr:col>1</xdr:col>
                    <xdr:colOff>190500</xdr:colOff>
                    <xdr:row>32</xdr:row>
                    <xdr:rowOff>114300</xdr:rowOff>
                  </from>
                  <to>
                    <xdr:col>4</xdr:col>
                    <xdr:colOff>323850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Drop Down 15">
              <controlPr defaultSize="0" autoLine="0" autoPict="0">
                <anchor>
                  <from>
                    <xdr:col>1</xdr:col>
                    <xdr:colOff>200025</xdr:colOff>
                    <xdr:row>34</xdr:row>
                    <xdr:rowOff>114300</xdr:rowOff>
                  </from>
                  <to>
                    <xdr:col>4</xdr:col>
                    <xdr:colOff>323850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Drop Down 16">
              <controlPr defaultSize="0" autoLine="0" autoPict="0">
                <anchor>
                  <from>
                    <xdr:col>1</xdr:col>
                    <xdr:colOff>200025</xdr:colOff>
                    <xdr:row>36</xdr:row>
                    <xdr:rowOff>114300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Drop Down 17">
              <controlPr defaultSize="0" autoLine="0" autoPict="0">
                <anchor>
                  <from>
                    <xdr:col>1</xdr:col>
                    <xdr:colOff>200025</xdr:colOff>
                    <xdr:row>38</xdr:row>
                    <xdr:rowOff>104775</xdr:rowOff>
                  </from>
                  <to>
                    <xdr:col>4</xdr:col>
                    <xdr:colOff>323850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Drop Down 18">
              <controlPr defaultSize="0" autoLine="0" autoPict="0">
                <anchor>
                  <from>
                    <xdr:col>1</xdr:col>
                    <xdr:colOff>200025</xdr:colOff>
                    <xdr:row>40</xdr:row>
                    <xdr:rowOff>104775</xdr:rowOff>
                  </from>
                  <to>
                    <xdr:col>4</xdr:col>
                    <xdr:colOff>323850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Drop Down 19">
              <controlPr defaultSize="0" autoLine="0" autoPict="0">
                <anchor>
                  <from>
                    <xdr:col>1</xdr:col>
                    <xdr:colOff>209550</xdr:colOff>
                    <xdr:row>42</xdr:row>
                    <xdr:rowOff>104775</xdr:rowOff>
                  </from>
                  <to>
                    <xdr:col>4</xdr:col>
                    <xdr:colOff>314325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Drop Down 20">
              <controlPr defaultSize="0" autoLine="0" autoPict="0">
                <anchor>
                  <from>
                    <xdr:col>1</xdr:col>
                    <xdr:colOff>209550</xdr:colOff>
                    <xdr:row>44</xdr:row>
                    <xdr:rowOff>104775</xdr:rowOff>
                  </from>
                  <to>
                    <xdr:col>4</xdr:col>
                    <xdr:colOff>323850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Drop Down 21">
              <controlPr defaultSize="0" autoLine="0" autoPict="0">
                <anchor>
                  <from>
                    <xdr:col>1</xdr:col>
                    <xdr:colOff>209550</xdr:colOff>
                    <xdr:row>46</xdr:row>
                    <xdr:rowOff>104775</xdr:rowOff>
                  </from>
                  <to>
                    <xdr:col>4</xdr:col>
                    <xdr:colOff>323850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Drop Down 22">
              <controlPr defaultSize="0" autoLine="0" autoPict="0">
                <anchor>
                  <from>
                    <xdr:col>1</xdr:col>
                    <xdr:colOff>219075</xdr:colOff>
                    <xdr:row>48</xdr:row>
                    <xdr:rowOff>104775</xdr:rowOff>
                  </from>
                  <to>
                    <xdr:col>4</xdr:col>
                    <xdr:colOff>323850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Drop Down 23">
              <controlPr defaultSize="0" autoLine="0" autoPict="0">
                <anchor>
                  <from>
                    <xdr:col>1</xdr:col>
                    <xdr:colOff>219075</xdr:colOff>
                    <xdr:row>50</xdr:row>
                    <xdr:rowOff>114300</xdr:rowOff>
                  </from>
                  <to>
                    <xdr:col>4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Drop Down 25">
              <controlPr defaultSize="0" autoLine="0" autoPict="0">
                <anchor moveWithCells="1">
                  <from>
                    <xdr:col>3</xdr:col>
                    <xdr:colOff>0</xdr:colOff>
                    <xdr:row>60</xdr:row>
                    <xdr:rowOff>114300</xdr:rowOff>
                  </from>
                  <to>
                    <xdr:col>4</xdr:col>
                    <xdr:colOff>504825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>
                  <from>
                    <xdr:col>1</xdr:col>
                    <xdr:colOff>0</xdr:colOff>
                    <xdr:row>66</xdr:row>
                    <xdr:rowOff>104775</xdr:rowOff>
                  </from>
                  <to>
                    <xdr:col>3</xdr:col>
                    <xdr:colOff>619125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>
                  <from>
                    <xdr:col>1</xdr:col>
                    <xdr:colOff>0</xdr:colOff>
                    <xdr:row>68</xdr:row>
                    <xdr:rowOff>95250</xdr:rowOff>
                  </from>
                  <to>
                    <xdr:col>3</xdr:col>
                    <xdr:colOff>609600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>
                  <from>
                    <xdr:col>1</xdr:col>
                    <xdr:colOff>0</xdr:colOff>
                    <xdr:row>70</xdr:row>
                    <xdr:rowOff>104775</xdr:rowOff>
                  </from>
                  <to>
                    <xdr:col>3</xdr:col>
                    <xdr:colOff>619125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>
                  <from>
                    <xdr:col>4</xdr:col>
                    <xdr:colOff>466725</xdr:colOff>
                    <xdr:row>88</xdr:row>
                    <xdr:rowOff>114300</xdr:rowOff>
                  </from>
                  <to>
                    <xdr:col>5</xdr:col>
                    <xdr:colOff>666750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>
                  <from>
                    <xdr:col>6</xdr:col>
                    <xdr:colOff>409575</xdr:colOff>
                    <xdr:row>94</xdr:row>
                    <xdr:rowOff>95250</xdr:rowOff>
                  </from>
                  <to>
                    <xdr:col>8</xdr:col>
                    <xdr:colOff>9525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>
                  <from>
                    <xdr:col>6</xdr:col>
                    <xdr:colOff>609600</xdr:colOff>
                    <xdr:row>129</xdr:row>
                    <xdr:rowOff>85725</xdr:rowOff>
                  </from>
                  <to>
                    <xdr:col>8</xdr:col>
                    <xdr:colOff>114300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>
                  <from>
                    <xdr:col>3</xdr:col>
                    <xdr:colOff>19050</xdr:colOff>
                    <xdr:row>146</xdr:row>
                    <xdr:rowOff>114300</xdr:rowOff>
                  </from>
                  <to>
                    <xdr:col>4</xdr:col>
                    <xdr:colOff>180975</xdr:colOff>
                    <xdr:row>148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>
                  <from>
                    <xdr:col>6</xdr:col>
                    <xdr:colOff>9525</xdr:colOff>
                    <xdr:row>146</xdr:row>
                    <xdr:rowOff>114300</xdr:rowOff>
                  </from>
                  <to>
                    <xdr:col>7</xdr:col>
                    <xdr:colOff>409575</xdr:colOff>
                    <xdr:row>148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>
                  <from>
                    <xdr:col>3</xdr:col>
                    <xdr:colOff>9525</xdr:colOff>
                    <xdr:row>113</xdr:row>
                    <xdr:rowOff>0</xdr:rowOff>
                  </from>
                  <to>
                    <xdr:col>4</xdr:col>
                    <xdr:colOff>0</xdr:colOff>
                    <xdr:row>114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>
                  <from>
                    <xdr:col>4</xdr:col>
                    <xdr:colOff>0</xdr:colOff>
                    <xdr:row>113</xdr:row>
                    <xdr:rowOff>0</xdr:rowOff>
                  </from>
                  <to>
                    <xdr:col>5</xdr:col>
                    <xdr:colOff>0</xdr:colOff>
                    <xdr:row>114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>
                  <from>
                    <xdr:col>4</xdr:col>
                    <xdr:colOff>752475</xdr:colOff>
                    <xdr:row>113</xdr:row>
                    <xdr:rowOff>0</xdr:rowOff>
                  </from>
                  <to>
                    <xdr:col>5</xdr:col>
                    <xdr:colOff>628650</xdr:colOff>
                    <xdr:row>114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>
                  <from>
                    <xdr:col>5</xdr:col>
                    <xdr:colOff>504825</xdr:colOff>
                    <xdr:row>113</xdr:row>
                    <xdr:rowOff>0</xdr:rowOff>
                  </from>
                  <to>
                    <xdr:col>7</xdr:col>
                    <xdr:colOff>57150</xdr:colOff>
                    <xdr:row>114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>
                  <from>
                    <xdr:col>7</xdr:col>
                    <xdr:colOff>57150</xdr:colOff>
                    <xdr:row>112</xdr:row>
                    <xdr:rowOff>133350</xdr:rowOff>
                  </from>
                  <to>
                    <xdr:col>8</xdr:col>
                    <xdr:colOff>200025</xdr:colOff>
                    <xdr:row>114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Drop Down 44">
              <controlPr defaultSize="0" autoLine="0" autoPict="0">
                <anchor>
                  <from>
                    <xdr:col>2</xdr:col>
                    <xdr:colOff>0</xdr:colOff>
                    <xdr:row>12</xdr:row>
                    <xdr:rowOff>114300</xdr:rowOff>
                  </from>
                  <to>
                    <xdr:col>4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>
                  <from>
                    <xdr:col>2</xdr:col>
                    <xdr:colOff>0</xdr:colOff>
                    <xdr:row>126</xdr:row>
                    <xdr:rowOff>66675</xdr:rowOff>
                  </from>
                  <to>
                    <xdr:col>3</xdr:col>
                    <xdr:colOff>0</xdr:colOff>
                    <xdr:row>127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>
                  <from>
                    <xdr:col>3</xdr:col>
                    <xdr:colOff>0</xdr:colOff>
                    <xdr:row>126</xdr:row>
                    <xdr:rowOff>66675</xdr:rowOff>
                  </from>
                  <to>
                    <xdr:col>3</xdr:col>
                    <xdr:colOff>752475</xdr:colOff>
                    <xdr:row>127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>
                  <from>
                    <xdr:col>4</xdr:col>
                    <xdr:colOff>0</xdr:colOff>
                    <xdr:row>126</xdr:row>
                    <xdr:rowOff>66675</xdr:rowOff>
                  </from>
                  <to>
                    <xdr:col>4</xdr:col>
                    <xdr:colOff>733425</xdr:colOff>
                    <xdr:row>127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>
                  <from>
                    <xdr:col>4</xdr:col>
                    <xdr:colOff>733425</xdr:colOff>
                    <xdr:row>126</xdr:row>
                    <xdr:rowOff>66675</xdr:rowOff>
                  </from>
                  <to>
                    <xdr:col>6</xdr:col>
                    <xdr:colOff>0</xdr:colOff>
                    <xdr:row>127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defaultSize="0" autoFill="0" autoLine="0" autoPict="0">
                <anchor>
                  <from>
                    <xdr:col>4</xdr:col>
                    <xdr:colOff>762000</xdr:colOff>
                    <xdr:row>94</xdr:row>
                    <xdr:rowOff>104775</xdr:rowOff>
                  </from>
                  <to>
                    <xdr:col>6</xdr:col>
                    <xdr:colOff>266700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8" name="Check Box 92">
              <controlPr defaultSize="0" autoFill="0" autoLine="0" autoPict="0">
                <anchor>
                  <from>
                    <xdr:col>6</xdr:col>
                    <xdr:colOff>647700</xdr:colOff>
                    <xdr:row>155</xdr:row>
                    <xdr:rowOff>104775</xdr:rowOff>
                  </from>
                  <to>
                    <xdr:col>8</xdr:col>
                    <xdr:colOff>47625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9" name="Check Box 93">
              <controlPr defaultSize="0" autoFill="0" autoLine="0" autoPict="0">
                <anchor>
                  <from>
                    <xdr:col>6</xdr:col>
                    <xdr:colOff>647700</xdr:colOff>
                    <xdr:row>158</xdr:row>
                    <xdr:rowOff>95250</xdr:rowOff>
                  </from>
                  <to>
                    <xdr:col>8</xdr:col>
                    <xdr:colOff>76200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0" name="Check Box 94">
              <controlPr defaultSize="0" autoFill="0" autoLine="0" autoPict="0">
                <anchor>
                  <from>
                    <xdr:col>6</xdr:col>
                    <xdr:colOff>647700</xdr:colOff>
                    <xdr:row>161</xdr:row>
                    <xdr:rowOff>95250</xdr:rowOff>
                  </from>
                  <to>
                    <xdr:col>8</xdr:col>
                    <xdr:colOff>76200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1" name="Spinner 107">
              <controlPr defaultSize="0" autoPict="0">
                <anchor>
                  <from>
                    <xdr:col>4</xdr:col>
                    <xdr:colOff>0</xdr:colOff>
                    <xdr:row>155</xdr:row>
                    <xdr:rowOff>85725</xdr:rowOff>
                  </from>
                  <to>
                    <xdr:col>4</xdr:col>
                    <xdr:colOff>161925</xdr:colOff>
                    <xdr:row>157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2" name="Spinner 108">
              <controlPr defaultSize="0" autoPict="0">
                <anchor>
                  <from>
                    <xdr:col>4</xdr:col>
                    <xdr:colOff>0</xdr:colOff>
                    <xdr:row>158</xdr:row>
                    <xdr:rowOff>85725</xdr:rowOff>
                  </from>
                  <to>
                    <xdr:col>4</xdr:col>
                    <xdr:colOff>161925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3" name="Spinner 109">
              <controlPr defaultSize="0" autoPict="0">
                <anchor>
                  <from>
                    <xdr:col>4</xdr:col>
                    <xdr:colOff>0</xdr:colOff>
                    <xdr:row>161</xdr:row>
                    <xdr:rowOff>85725</xdr:rowOff>
                  </from>
                  <to>
                    <xdr:col>4</xdr:col>
                    <xdr:colOff>161925</xdr:colOff>
                    <xdr:row>163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4" name="Check Box 117">
              <controlPr defaultSize="0" autoFill="0" autoLine="0" autoPict="0">
                <anchor>
                  <from>
                    <xdr:col>6</xdr:col>
                    <xdr:colOff>647700</xdr:colOff>
                    <xdr:row>168</xdr:row>
                    <xdr:rowOff>95250</xdr:rowOff>
                  </from>
                  <to>
                    <xdr:col>8</xdr:col>
                    <xdr:colOff>28575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5" name="Drop Down 119">
              <controlPr defaultSize="0" autoLine="0" autoPict="0">
                <anchor>
                  <from>
                    <xdr:col>4</xdr:col>
                    <xdr:colOff>0</xdr:colOff>
                    <xdr:row>176</xdr:row>
                    <xdr:rowOff>123825</xdr:rowOff>
                  </from>
                  <to>
                    <xdr:col>5</xdr:col>
                    <xdr:colOff>352425</xdr:colOff>
                    <xdr:row>178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6" name="Drop Down 120">
              <controlPr defaultSize="0" autoLine="0" autoPict="0">
                <anchor>
                  <from>
                    <xdr:col>4</xdr:col>
                    <xdr:colOff>0</xdr:colOff>
                    <xdr:row>178</xdr:row>
                    <xdr:rowOff>114300</xdr:rowOff>
                  </from>
                  <to>
                    <xdr:col>5</xdr:col>
                    <xdr:colOff>28575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7" name="Check Box 121">
              <controlPr defaultSize="0" autoFill="0" autoLine="0" autoPict="0">
                <anchor>
                  <from>
                    <xdr:col>3</xdr:col>
                    <xdr:colOff>0</xdr:colOff>
                    <xdr:row>29</xdr:row>
                    <xdr:rowOff>104775</xdr:rowOff>
                  </from>
                  <to>
                    <xdr:col>4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8" name="Check Box 122">
              <controlPr defaultSize="0" autoFill="0" autoLine="0" autoPict="0">
                <anchor>
                  <from>
                    <xdr:col>6</xdr:col>
                    <xdr:colOff>638175</xdr:colOff>
                    <xdr:row>184</xdr:row>
                    <xdr:rowOff>114300</xdr:rowOff>
                  </from>
                  <to>
                    <xdr:col>8</xdr:col>
                    <xdr:colOff>114300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9" name="Check Box 123">
              <controlPr defaultSize="0" autoFill="0" autoLine="0" autoPict="0">
                <anchor>
                  <from>
                    <xdr:col>5</xdr:col>
                    <xdr:colOff>676275</xdr:colOff>
                    <xdr:row>188</xdr:row>
                    <xdr:rowOff>104775</xdr:rowOff>
                  </from>
                  <to>
                    <xdr:col>7</xdr:col>
                    <xdr:colOff>276225</xdr:colOff>
                    <xdr:row>190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0" name="Check Box 125">
              <controlPr defaultSize="0" autoFill="0" autoLine="0" autoPict="0">
                <anchor>
                  <from>
                    <xdr:col>5</xdr:col>
                    <xdr:colOff>676275</xdr:colOff>
                    <xdr:row>192</xdr:row>
                    <xdr:rowOff>95250</xdr:rowOff>
                  </from>
                  <to>
                    <xdr:col>7</xdr:col>
                    <xdr:colOff>209550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1" name="Check Box 126">
              <controlPr defaultSize="0" autoFill="0" autoLine="0" autoPict="0">
                <anchor>
                  <from>
                    <xdr:col>6</xdr:col>
                    <xdr:colOff>0</xdr:colOff>
                    <xdr:row>200</xdr:row>
                    <xdr:rowOff>104775</xdr:rowOff>
                  </from>
                  <to>
                    <xdr:col>7</xdr:col>
                    <xdr:colOff>333375</xdr:colOff>
                    <xdr:row>202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2" name="Check Box 127">
              <controlPr defaultSize="0" autoFill="0" autoLine="0" autoPict="0">
                <anchor>
                  <from>
                    <xdr:col>6</xdr:col>
                    <xdr:colOff>0</xdr:colOff>
                    <xdr:row>202</xdr:row>
                    <xdr:rowOff>114300</xdr:rowOff>
                  </from>
                  <to>
                    <xdr:col>7</xdr:col>
                    <xdr:colOff>171450</xdr:colOff>
                    <xdr:row>204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3" name="Check Box 128">
              <controlPr defaultSize="0" autoFill="0" autoLine="0" autoPict="0">
                <anchor>
                  <from>
                    <xdr:col>6</xdr:col>
                    <xdr:colOff>0</xdr:colOff>
                    <xdr:row>204</xdr:row>
                    <xdr:rowOff>104775</xdr:rowOff>
                  </from>
                  <to>
                    <xdr:col>7</xdr:col>
                    <xdr:colOff>180975</xdr:colOff>
                    <xdr:row>206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4" name="Spinner 130">
              <controlPr defaultSize="0" autoPict="0">
                <anchor>
                  <from>
                    <xdr:col>4</xdr:col>
                    <xdr:colOff>0</xdr:colOff>
                    <xdr:row>209</xdr:row>
                    <xdr:rowOff>85725</xdr:rowOff>
                  </from>
                  <to>
                    <xdr:col>4</xdr:col>
                    <xdr:colOff>161925</xdr:colOff>
                    <xdr:row>211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5" name="Check Box 131">
              <controlPr defaultSize="0" autoFill="0" autoLine="0" autoPict="0">
                <anchor>
                  <from>
                    <xdr:col>6</xdr:col>
                    <xdr:colOff>638175</xdr:colOff>
                    <xdr:row>209</xdr:row>
                    <xdr:rowOff>95250</xdr:rowOff>
                  </from>
                  <to>
                    <xdr:col>8</xdr:col>
                    <xdr:colOff>76200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6" name="Check Box 132">
              <controlPr defaultSize="0" autoFill="0" autoLine="0" autoPict="0">
                <anchor>
                  <from>
                    <xdr:col>6</xdr:col>
                    <xdr:colOff>638175</xdr:colOff>
                    <xdr:row>212</xdr:row>
                    <xdr:rowOff>95250</xdr:rowOff>
                  </from>
                  <to>
                    <xdr:col>8</xdr:col>
                    <xdr:colOff>0</xdr:colOff>
                    <xdr:row>214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indexed="23"/>
  </sheetPr>
  <dimension ref="A1:I18"/>
  <sheetViews>
    <sheetView showGridLines="0" workbookViewId="0"/>
  </sheetViews>
  <sheetFormatPr baseColWidth="10" defaultRowHeight="11.25" x14ac:dyDescent="0.2"/>
  <cols>
    <col min="1" max="1" width="12" style="14"/>
  </cols>
  <sheetData>
    <row r="1" spans="1:9" s="14" customFormat="1" x14ac:dyDescent="0.2">
      <c r="A1" s="486" t="s">
        <v>0</v>
      </c>
      <c r="B1" s="486" t="s">
        <v>1</v>
      </c>
      <c r="C1" s="482" t="s">
        <v>2</v>
      </c>
      <c r="D1" s="482" t="s">
        <v>3</v>
      </c>
      <c r="E1" s="482" t="s">
        <v>4</v>
      </c>
      <c r="F1" s="482" t="s">
        <v>5</v>
      </c>
      <c r="G1" s="482" t="s">
        <v>6</v>
      </c>
      <c r="H1" s="482" t="s">
        <v>7</v>
      </c>
      <c r="I1" s="482" t="s">
        <v>8</v>
      </c>
    </row>
    <row r="2" spans="1:9" x14ac:dyDescent="0.2">
      <c r="A2" s="270">
        <v>2</v>
      </c>
      <c r="B2" s="254"/>
      <c r="C2" s="484"/>
      <c r="D2" s="484"/>
      <c r="E2" s="484"/>
      <c r="F2" s="484"/>
      <c r="G2" s="484"/>
      <c r="H2" s="484"/>
      <c r="I2" s="484"/>
    </row>
    <row r="3" spans="1:9" x14ac:dyDescent="0.2">
      <c r="A3" s="270">
        <v>3</v>
      </c>
      <c r="B3" s="254"/>
      <c r="C3" s="490" t="s">
        <v>832</v>
      </c>
      <c r="D3" s="491"/>
      <c r="E3" s="492"/>
      <c r="F3" s="492"/>
      <c r="G3" s="492"/>
      <c r="H3" s="492"/>
      <c r="I3" s="492"/>
    </row>
    <row r="4" spans="1:9" x14ac:dyDescent="0.2">
      <c r="A4" s="270">
        <v>4</v>
      </c>
      <c r="B4" s="254"/>
      <c r="C4" s="484"/>
      <c r="D4" s="484"/>
      <c r="E4" s="484"/>
      <c r="F4" s="484"/>
      <c r="G4" s="484"/>
      <c r="H4" s="484"/>
      <c r="I4" s="484"/>
    </row>
    <row r="5" spans="1:9" x14ac:dyDescent="0.2">
      <c r="A5" s="270">
        <v>5</v>
      </c>
      <c r="B5" s="254"/>
      <c r="C5" s="493"/>
      <c r="D5" s="494" t="s">
        <v>833</v>
      </c>
      <c r="E5" s="495"/>
      <c r="F5" s="496"/>
      <c r="G5" s="484"/>
      <c r="H5" s="484"/>
      <c r="I5" s="484"/>
    </row>
    <row r="6" spans="1:9" ht="12" x14ac:dyDescent="0.2">
      <c r="A6" s="270">
        <v>6</v>
      </c>
      <c r="B6" s="254"/>
      <c r="C6" s="497">
        <v>1</v>
      </c>
      <c r="D6" s="498">
        <f t="shared" ref="D6:D17" si="0">ROUNDUP((C6*0.667),0)</f>
        <v>1</v>
      </c>
      <c r="E6" s="498">
        <f t="shared" ref="E6:E17" si="1">ROUNDUP((C6*0.5),0)</f>
        <v>1</v>
      </c>
      <c r="F6" s="498">
        <f t="shared" ref="F6:F17" si="2">ROUNDUP((C6*0.333),0)</f>
        <v>1</v>
      </c>
      <c r="G6" s="480">
        <f>ROUND((C6/F6),0)</f>
        <v>1</v>
      </c>
      <c r="H6" s="484"/>
      <c r="I6" s="499" t="s">
        <v>633</v>
      </c>
    </row>
    <row r="7" spans="1:9" ht="12" x14ac:dyDescent="0.2">
      <c r="A7" s="270">
        <v>7</v>
      </c>
      <c r="B7" s="254"/>
      <c r="C7" s="497">
        <v>2</v>
      </c>
      <c r="D7" s="498">
        <f t="shared" si="0"/>
        <v>2</v>
      </c>
      <c r="E7" s="498">
        <f t="shared" si="1"/>
        <v>1</v>
      </c>
      <c r="F7" s="498">
        <f t="shared" si="2"/>
        <v>1</v>
      </c>
      <c r="G7" s="480">
        <f t="shared" ref="G7:G17" si="3">ROUND((C7/F7),0)</f>
        <v>2</v>
      </c>
      <c r="H7" s="484"/>
      <c r="I7" s="499" t="s">
        <v>634</v>
      </c>
    </row>
    <row r="8" spans="1:9" ht="12" x14ac:dyDescent="0.2">
      <c r="A8" s="270">
        <v>8</v>
      </c>
      <c r="B8" s="254"/>
      <c r="C8" s="497">
        <v>3</v>
      </c>
      <c r="D8" s="498">
        <f t="shared" si="0"/>
        <v>3</v>
      </c>
      <c r="E8" s="498">
        <f t="shared" si="1"/>
        <v>2</v>
      </c>
      <c r="F8" s="498">
        <f t="shared" si="2"/>
        <v>1</v>
      </c>
      <c r="G8" s="480">
        <f t="shared" si="3"/>
        <v>3</v>
      </c>
      <c r="H8" s="484"/>
      <c r="I8" s="485" t="s">
        <v>54</v>
      </c>
    </row>
    <row r="9" spans="1:9" ht="12" x14ac:dyDescent="0.2">
      <c r="A9" s="270">
        <v>9</v>
      </c>
      <c r="B9" s="254"/>
      <c r="C9" s="497">
        <v>4</v>
      </c>
      <c r="D9" s="498">
        <f t="shared" si="0"/>
        <v>3</v>
      </c>
      <c r="E9" s="498">
        <f t="shared" si="1"/>
        <v>2</v>
      </c>
      <c r="F9" s="498">
        <f t="shared" si="2"/>
        <v>2</v>
      </c>
      <c r="G9" s="480">
        <f t="shared" si="3"/>
        <v>2</v>
      </c>
      <c r="H9" s="484"/>
      <c r="I9" s="501">
        <f>FCAS!$F$60</f>
        <v>12</v>
      </c>
    </row>
    <row r="10" spans="1:9" ht="12" x14ac:dyDescent="0.2">
      <c r="A10" s="270">
        <v>10</v>
      </c>
      <c r="B10" s="254"/>
      <c r="C10" s="497">
        <v>5</v>
      </c>
      <c r="D10" s="498">
        <f t="shared" si="0"/>
        <v>4</v>
      </c>
      <c r="E10" s="498">
        <f t="shared" si="1"/>
        <v>3</v>
      </c>
      <c r="F10" s="498">
        <f t="shared" si="2"/>
        <v>2</v>
      </c>
      <c r="G10" s="480">
        <f t="shared" si="3"/>
        <v>3</v>
      </c>
      <c r="H10" s="484"/>
      <c r="I10" s="502">
        <f>VLOOKUP($I$9,$C$6:$F$17,2)</f>
        <v>9</v>
      </c>
    </row>
    <row r="11" spans="1:9" ht="12" x14ac:dyDescent="0.2">
      <c r="A11" s="270">
        <v>11</v>
      </c>
      <c r="B11" s="254"/>
      <c r="C11" s="497">
        <v>6</v>
      </c>
      <c r="D11" s="498">
        <f t="shared" si="0"/>
        <v>5</v>
      </c>
      <c r="E11" s="498">
        <f t="shared" si="1"/>
        <v>3</v>
      </c>
      <c r="F11" s="498">
        <f t="shared" si="2"/>
        <v>2</v>
      </c>
      <c r="G11" s="480">
        <f t="shared" si="3"/>
        <v>3</v>
      </c>
      <c r="H11" s="484"/>
      <c r="I11" s="502">
        <f>VLOOKUP($I$9,$C$6:$F$17,3)</f>
        <v>6</v>
      </c>
    </row>
    <row r="12" spans="1:9" ht="12" x14ac:dyDescent="0.2">
      <c r="A12" s="270">
        <v>12</v>
      </c>
      <c r="B12" s="254"/>
      <c r="C12" s="497">
        <v>7</v>
      </c>
      <c r="D12" s="498">
        <f t="shared" si="0"/>
        <v>5</v>
      </c>
      <c r="E12" s="498">
        <f t="shared" si="1"/>
        <v>4</v>
      </c>
      <c r="F12" s="498">
        <f t="shared" si="2"/>
        <v>3</v>
      </c>
      <c r="G12" s="480">
        <f t="shared" si="3"/>
        <v>2</v>
      </c>
      <c r="H12" s="484"/>
      <c r="I12" s="502">
        <f>VLOOKUP($I$9,$C$6:$F$17,4)</f>
        <v>4</v>
      </c>
    </row>
    <row r="13" spans="1:9" ht="12" x14ac:dyDescent="0.2">
      <c r="A13" s="270">
        <v>13</v>
      </c>
      <c r="B13" s="254"/>
      <c r="C13" s="497">
        <v>8</v>
      </c>
      <c r="D13" s="498">
        <f t="shared" si="0"/>
        <v>6</v>
      </c>
      <c r="E13" s="498">
        <f t="shared" si="1"/>
        <v>4</v>
      </c>
      <c r="F13" s="498">
        <f t="shared" si="2"/>
        <v>3</v>
      </c>
      <c r="G13" s="480">
        <f t="shared" si="3"/>
        <v>3</v>
      </c>
      <c r="H13" s="484"/>
      <c r="I13" s="500"/>
    </row>
    <row r="14" spans="1:9" ht="12" x14ac:dyDescent="0.2">
      <c r="A14" s="270">
        <v>14</v>
      </c>
      <c r="B14" s="254"/>
      <c r="C14" s="497">
        <v>9</v>
      </c>
      <c r="D14" s="498">
        <f t="shared" si="0"/>
        <v>7</v>
      </c>
      <c r="E14" s="498">
        <f t="shared" si="1"/>
        <v>5</v>
      </c>
      <c r="F14" s="498">
        <f t="shared" si="2"/>
        <v>3</v>
      </c>
      <c r="G14" s="480">
        <f t="shared" si="3"/>
        <v>3</v>
      </c>
      <c r="H14" s="484"/>
      <c r="I14" s="484"/>
    </row>
    <row r="15" spans="1:9" ht="12" x14ac:dyDescent="0.2">
      <c r="A15" s="270">
        <v>15</v>
      </c>
      <c r="B15" s="254"/>
      <c r="C15" s="497">
        <v>10</v>
      </c>
      <c r="D15" s="498">
        <f t="shared" si="0"/>
        <v>7</v>
      </c>
      <c r="E15" s="498">
        <f t="shared" si="1"/>
        <v>5</v>
      </c>
      <c r="F15" s="498">
        <f t="shared" si="2"/>
        <v>4</v>
      </c>
      <c r="G15" s="480">
        <f t="shared" si="3"/>
        <v>3</v>
      </c>
      <c r="H15" s="484"/>
      <c r="I15" s="484"/>
    </row>
    <row r="16" spans="1:9" ht="12" x14ac:dyDescent="0.2">
      <c r="A16" s="270">
        <v>16</v>
      </c>
      <c r="B16" s="254"/>
      <c r="C16" s="497">
        <v>11</v>
      </c>
      <c r="D16" s="498">
        <f t="shared" si="0"/>
        <v>8</v>
      </c>
      <c r="E16" s="498">
        <f t="shared" si="1"/>
        <v>6</v>
      </c>
      <c r="F16" s="498">
        <f t="shared" si="2"/>
        <v>4</v>
      </c>
      <c r="G16" s="480">
        <f t="shared" si="3"/>
        <v>3</v>
      </c>
      <c r="H16" s="484"/>
      <c r="I16" s="484"/>
    </row>
    <row r="17" spans="1:9" ht="12" x14ac:dyDescent="0.2">
      <c r="A17" s="270">
        <v>17</v>
      </c>
      <c r="B17" s="254"/>
      <c r="C17" s="497">
        <v>12</v>
      </c>
      <c r="D17" s="498">
        <f t="shared" si="0"/>
        <v>9</v>
      </c>
      <c r="E17" s="498">
        <f t="shared" si="1"/>
        <v>6</v>
      </c>
      <c r="F17" s="498">
        <f t="shared" si="2"/>
        <v>4</v>
      </c>
      <c r="G17" s="480">
        <f t="shared" si="3"/>
        <v>3</v>
      </c>
      <c r="H17" s="484"/>
      <c r="I17" s="484"/>
    </row>
    <row r="18" spans="1:9" x14ac:dyDescent="0.2">
      <c r="A18" s="270">
        <v>18</v>
      </c>
      <c r="B18" s="254"/>
      <c r="C18" s="254"/>
      <c r="D18" s="254"/>
      <c r="E18" s="254"/>
      <c r="F18" s="254"/>
      <c r="G18" s="254"/>
      <c r="H18" s="254"/>
      <c r="I18" s="254"/>
    </row>
  </sheetData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H259"/>
  <sheetViews>
    <sheetView showGridLines="0" workbookViewId="0"/>
  </sheetViews>
  <sheetFormatPr baseColWidth="10" defaultRowHeight="11.25" x14ac:dyDescent="0.2"/>
  <cols>
    <col min="1" max="1" width="12" style="14"/>
    <col min="2" max="2" width="14.83203125" customWidth="1"/>
    <col min="3" max="3" width="11.33203125" customWidth="1"/>
    <col min="4" max="4" width="10.1640625" bestFit="1" customWidth="1"/>
    <col min="5" max="5" width="28" customWidth="1"/>
    <col min="6" max="6" width="11.5" bestFit="1" customWidth="1"/>
    <col min="7" max="7" width="12.33203125" bestFit="1" customWidth="1"/>
  </cols>
  <sheetData>
    <row r="1" spans="1:8" s="14" customForma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</row>
    <row r="2" spans="1:8" x14ac:dyDescent="0.2">
      <c r="A2" s="489">
        <v>2</v>
      </c>
      <c r="B2" s="638"/>
    </row>
    <row r="3" spans="1:8" x14ac:dyDescent="0.2">
      <c r="A3" s="14">
        <v>3</v>
      </c>
      <c r="D3" s="66"/>
      <c r="E3" s="67"/>
      <c r="F3" s="68"/>
      <c r="G3" s="68"/>
    </row>
    <row r="4" spans="1:8" x14ac:dyDescent="0.2">
      <c r="A4" s="14">
        <v>4</v>
      </c>
      <c r="D4" s="69" t="s">
        <v>384</v>
      </c>
      <c r="E4" s="70" t="s">
        <v>834</v>
      </c>
      <c r="F4" s="71" t="s">
        <v>835</v>
      </c>
      <c r="G4" s="71" t="s">
        <v>836</v>
      </c>
    </row>
    <row r="5" spans="1:8" x14ac:dyDescent="0.2">
      <c r="A5" s="14">
        <v>5</v>
      </c>
      <c r="D5" s="72">
        <v>39083</v>
      </c>
      <c r="E5" s="73" t="s">
        <v>837</v>
      </c>
      <c r="F5" s="74" t="str">
        <f>VLOOKUP(WEEKDAY(D5,1),TABLAS!$D$50:$E$56,2)</f>
        <v>LUNES</v>
      </c>
      <c r="G5" s="75">
        <f>IF(F5="SABADO",IF(FCAS!$D$62=2,1/2,0),IF(F5="DOMINGO",0,1))</f>
        <v>1</v>
      </c>
    </row>
    <row r="6" spans="1:8" x14ac:dyDescent="0.2">
      <c r="A6" s="14">
        <v>6</v>
      </c>
      <c r="D6" s="76">
        <v>39177</v>
      </c>
      <c r="E6" s="77" t="s">
        <v>838</v>
      </c>
      <c r="F6" s="74" t="str">
        <f>VLOOKUP(WEEKDAY(D6,1),TABLAS!$D$50:$E$56,2)</f>
        <v>JUEVES</v>
      </c>
      <c r="G6" s="75">
        <f>IF(F6="SABADO",IF(FCAS!$D$62=2,1/2,0),IF(F6="DOMINGO",0,1))</f>
        <v>1</v>
      </c>
    </row>
    <row r="7" spans="1:8" x14ac:dyDescent="0.2">
      <c r="A7" s="14">
        <v>7</v>
      </c>
      <c r="D7" s="76">
        <v>39178</v>
      </c>
      <c r="E7" s="77" t="s">
        <v>839</v>
      </c>
      <c r="F7" s="74" t="str">
        <f>VLOOKUP(WEEKDAY(D7,1),TABLAS!$D$50:$E$56,2)</f>
        <v>VIERNES</v>
      </c>
      <c r="G7" s="75">
        <f>IF(F7="SABADO",IF(FCAS!$D$62=2,1/2,0),IF(F7="DOMINGO",0,1))</f>
        <v>1</v>
      </c>
    </row>
    <row r="8" spans="1:8" x14ac:dyDescent="0.2">
      <c r="A8" s="14">
        <v>8</v>
      </c>
      <c r="D8" s="76">
        <v>39191</v>
      </c>
      <c r="E8" s="77" t="s">
        <v>840</v>
      </c>
      <c r="F8" s="74" t="str">
        <f>VLOOKUP(WEEKDAY(D8,1),TABLAS!$D$50:$E$56,2)</f>
        <v>JUEVES</v>
      </c>
      <c r="G8" s="75">
        <f>IF(F8="SABADO",IF(FCAS!$D$62=2,1/2,0),IF(F8="DOMINGO",0,1))</f>
        <v>1</v>
      </c>
    </row>
    <row r="9" spans="1:8" x14ac:dyDescent="0.2">
      <c r="A9" s="14">
        <v>9</v>
      </c>
      <c r="D9" s="76">
        <v>39167</v>
      </c>
      <c r="E9" s="77" t="s">
        <v>841</v>
      </c>
      <c r="F9" s="74" t="str">
        <f>VLOOKUP(WEEKDAY(D9,1),TABLAS!$D$50:$E$56,2)</f>
        <v>LUNES</v>
      </c>
      <c r="G9" s="75">
        <f>IF(F9="SABADO",IF(FCAS!$D$62=2,1/2,0),IF(F9="DOMINGO",0,1))</f>
        <v>1</v>
      </c>
    </row>
    <row r="10" spans="1:8" x14ac:dyDescent="0.2">
      <c r="A10" s="14">
        <v>10</v>
      </c>
      <c r="D10" s="76">
        <v>39203</v>
      </c>
      <c r="E10" s="77" t="s">
        <v>842</v>
      </c>
      <c r="F10" s="74" t="str">
        <f>VLOOKUP(WEEKDAY(D10,1),TABLAS!$D$50:$E$56,2)</f>
        <v>MARTES</v>
      </c>
      <c r="G10" s="75">
        <f>IF(F10="SABADO",IF(FCAS!$D$62=2,1/2,0),IF(F10="DOMINGO",0,1))</f>
        <v>1</v>
      </c>
    </row>
    <row r="11" spans="1:8" x14ac:dyDescent="0.2">
      <c r="A11" s="14">
        <v>11</v>
      </c>
      <c r="D11" s="76">
        <v>39257</v>
      </c>
      <c r="E11" s="77" t="s">
        <v>843</v>
      </c>
      <c r="F11" s="74" t="str">
        <f>VLOOKUP(WEEKDAY(D11,1),TABLAS!$D$50:$E$56,2)</f>
        <v>DOMINGO</v>
      </c>
      <c r="G11" s="75">
        <f>IF(F11="SABADO",IF(FCAS!$D$62=2,1/2,0),IF(F11="DOMINGO",0,1))</f>
        <v>0</v>
      </c>
    </row>
    <row r="12" spans="1:8" x14ac:dyDescent="0.2">
      <c r="A12" s="14">
        <v>12</v>
      </c>
      <c r="D12" s="76">
        <v>39268</v>
      </c>
      <c r="E12" s="77" t="s">
        <v>844</v>
      </c>
      <c r="F12" s="74" t="str">
        <f>VLOOKUP(WEEKDAY(D12,1),TABLAS!$D$50:$E$56,2)</f>
        <v>JUEVES</v>
      </c>
      <c r="G12" s="75">
        <f>IF(F12="SABADO",IF(FCAS!$D$62=2,1/2,0),IF(F12="DOMINGO",0,1))</f>
        <v>1</v>
      </c>
    </row>
    <row r="13" spans="1:8" x14ac:dyDescent="0.2">
      <c r="A13" s="14">
        <v>13</v>
      </c>
      <c r="D13" s="76">
        <v>39287</v>
      </c>
      <c r="E13" s="77" t="s">
        <v>845</v>
      </c>
      <c r="F13" s="74" t="str">
        <f>VLOOKUP(WEEKDAY(D13,1),TABLAS!$D$50:$E$56,2)</f>
        <v>MARTES</v>
      </c>
      <c r="G13" s="75">
        <f>IF(F13="SABADO",IF(FCAS!$D$62=2,1/2,0),IF(F13="DOMINGO",0,1))</f>
        <v>1</v>
      </c>
    </row>
    <row r="14" spans="1:8" x14ac:dyDescent="0.2">
      <c r="A14" s="14">
        <v>14</v>
      </c>
      <c r="D14" s="76">
        <v>39367</v>
      </c>
      <c r="E14" s="77" t="s">
        <v>846</v>
      </c>
      <c r="F14" s="74" t="str">
        <f>VLOOKUP(WEEKDAY(D14,1),TABLAS!$D$50:$E$56,2)</f>
        <v>VIERNES</v>
      </c>
      <c r="G14" s="75">
        <f>IF(F14="SABADO",IF(FCAS!$D$62=2,1/2,0),IF(F14="DOMINGO",0,1))</f>
        <v>1</v>
      </c>
    </row>
    <row r="15" spans="1:8" x14ac:dyDescent="0.2">
      <c r="A15" s="14">
        <v>15</v>
      </c>
      <c r="D15" s="76">
        <v>39441</v>
      </c>
      <c r="E15" s="77" t="s">
        <v>847</v>
      </c>
      <c r="F15" s="74" t="str">
        <f>VLOOKUP(WEEKDAY(D15,1),TABLAS!$D$50:$E$56,2)</f>
        <v>MARTES</v>
      </c>
      <c r="G15" s="75">
        <f>IF(F15="SABADO",IF(FCAS!$D$62=2,1/2,0),IF(F15="DOMINGO",0,1))</f>
        <v>1</v>
      </c>
    </row>
    <row r="16" spans="1:8" x14ac:dyDescent="0.2">
      <c r="A16" s="14">
        <v>16</v>
      </c>
      <c r="D16" s="78"/>
      <c r="E16" s="79"/>
      <c r="G16" s="80">
        <f>SUM(G5:G15)</f>
        <v>10</v>
      </c>
    </row>
    <row r="17" spans="1:7" x14ac:dyDescent="0.2">
      <c r="A17" s="14">
        <v>17</v>
      </c>
    </row>
    <row r="18" spans="1:7" x14ac:dyDescent="0.2">
      <c r="A18" s="14">
        <v>18</v>
      </c>
      <c r="D18" s="66"/>
      <c r="E18" s="81"/>
      <c r="F18" s="68"/>
      <c r="G18" s="68"/>
    </row>
    <row r="19" spans="1:7" x14ac:dyDescent="0.2">
      <c r="A19" s="14">
        <v>19</v>
      </c>
      <c r="D19" s="69" t="s">
        <v>384</v>
      </c>
      <c r="E19" s="82" t="s">
        <v>834</v>
      </c>
      <c r="F19" s="71" t="s">
        <v>835</v>
      </c>
      <c r="G19" s="71" t="s">
        <v>836</v>
      </c>
    </row>
    <row r="20" spans="1:7" x14ac:dyDescent="0.2">
      <c r="A20" s="14">
        <v>20</v>
      </c>
      <c r="D20" s="72">
        <v>39448</v>
      </c>
      <c r="E20" s="73" t="s">
        <v>837</v>
      </c>
      <c r="F20" s="74" t="str">
        <f>VLOOKUP(WEEKDAY(D20,1),TABLAS!$D$50:$E$56,2)</f>
        <v>MARTES</v>
      </c>
      <c r="G20" s="75">
        <f>IF(F20="SABADO",IF(FCAS!$D$62=2,1/2,0),IF(F20="DOMINGO",0,1))</f>
        <v>1</v>
      </c>
    </row>
    <row r="21" spans="1:7" x14ac:dyDescent="0.2">
      <c r="A21" s="14">
        <v>21</v>
      </c>
      <c r="D21" s="76">
        <v>39527</v>
      </c>
      <c r="E21" s="77" t="s">
        <v>838</v>
      </c>
      <c r="F21" s="74" t="str">
        <f>VLOOKUP(WEEKDAY(D21,1),TABLAS!$D$50:$E$56,2)</f>
        <v>JUEVES</v>
      </c>
      <c r="G21" s="75">
        <f>IF(F21="SABADO",IF(FCAS!$D$62=2,1/2,0),IF(F21="DOMINGO",0,1))</f>
        <v>1</v>
      </c>
    </row>
    <row r="22" spans="1:7" x14ac:dyDescent="0.2">
      <c r="A22" s="14">
        <v>22</v>
      </c>
      <c r="D22" s="76">
        <v>39528</v>
      </c>
      <c r="E22" s="77" t="s">
        <v>839</v>
      </c>
      <c r="F22" s="74" t="str">
        <f>VLOOKUP(WEEKDAY(D22,1),TABLAS!$D$50:$E$56,2)</f>
        <v>VIERNES</v>
      </c>
      <c r="G22" s="75">
        <f>IF(F22="SABADO",IF(FCAS!$D$62=2,1/2,0),IF(F22="DOMINGO",0,1))</f>
        <v>1</v>
      </c>
    </row>
    <row r="23" spans="1:7" x14ac:dyDescent="0.2">
      <c r="A23" s="14">
        <v>23</v>
      </c>
      <c r="D23" s="76">
        <v>39557</v>
      </c>
      <c r="E23" s="77" t="s">
        <v>840</v>
      </c>
      <c r="F23" s="74" t="str">
        <f>VLOOKUP(WEEKDAY(D23,1),TABLAS!$D$50:$E$56,2)</f>
        <v>SABADO</v>
      </c>
      <c r="G23" s="75">
        <f>IF(F23="SABADO",IF(FCAS!$D$62=2,1/2,0),IF(F23="DOMINGO",0,1))</f>
        <v>0</v>
      </c>
    </row>
    <row r="24" spans="1:7" x14ac:dyDescent="0.2">
      <c r="A24" s="14">
        <v>24</v>
      </c>
      <c r="D24" s="76">
        <v>39533</v>
      </c>
      <c r="E24" s="77" t="s">
        <v>841</v>
      </c>
      <c r="F24" s="74" t="str">
        <f>VLOOKUP(WEEKDAY(D24,1),TABLAS!$D$50:$E$56,2)</f>
        <v>MIERCOLES</v>
      </c>
      <c r="G24" s="75">
        <f>IF(F24="SABADO",IF(FCAS!$D$62=2,1/2,0),IF(F24="DOMINGO",0,1))</f>
        <v>1</v>
      </c>
    </row>
    <row r="25" spans="1:7" x14ac:dyDescent="0.2">
      <c r="A25" s="14">
        <v>25</v>
      </c>
      <c r="D25" s="76">
        <v>39569</v>
      </c>
      <c r="E25" s="77" t="s">
        <v>842</v>
      </c>
      <c r="F25" s="74" t="str">
        <f>VLOOKUP(WEEKDAY(D25,1),TABLAS!$D$50:$E$56,2)</f>
        <v>JUEVES</v>
      </c>
      <c r="G25" s="75">
        <f>IF(F25="SABADO",IF(FCAS!$D$62=2,1/2,0),IF(F25="DOMINGO",0,1))</f>
        <v>1</v>
      </c>
    </row>
    <row r="26" spans="1:7" x14ac:dyDescent="0.2">
      <c r="A26" s="14">
        <v>26</v>
      </c>
      <c r="D26" s="76">
        <v>39623</v>
      </c>
      <c r="E26" s="77" t="s">
        <v>843</v>
      </c>
      <c r="F26" s="74" t="str">
        <f>VLOOKUP(WEEKDAY(D26,1),TABLAS!$D$50:$E$56,2)</f>
        <v>MARTES</v>
      </c>
      <c r="G26" s="75">
        <f>IF(F26="SABADO",IF(FCAS!$D$62=2,1/2,0),IF(F26="DOMINGO",0,1))</f>
        <v>1</v>
      </c>
    </row>
    <row r="27" spans="1:7" x14ac:dyDescent="0.2">
      <c r="A27" s="14">
        <v>27</v>
      </c>
      <c r="D27" s="76">
        <v>39634</v>
      </c>
      <c r="E27" s="77" t="s">
        <v>844</v>
      </c>
      <c r="F27" s="74" t="str">
        <f>VLOOKUP(WEEKDAY(D27,1),TABLAS!$D$50:$E$56,2)</f>
        <v>SABADO</v>
      </c>
      <c r="G27" s="75">
        <f>IF(F27="SABADO",IF(FCAS!$D$62=2,1/2,0),IF(F27="DOMINGO",0,1))</f>
        <v>0</v>
      </c>
    </row>
    <row r="28" spans="1:7" x14ac:dyDescent="0.2">
      <c r="A28" s="14">
        <v>28</v>
      </c>
      <c r="D28" s="76">
        <v>39653</v>
      </c>
      <c r="E28" s="77" t="s">
        <v>845</v>
      </c>
      <c r="F28" s="74" t="str">
        <f>VLOOKUP(WEEKDAY(D28,1),TABLAS!$D$50:$E$56,2)</f>
        <v>JUEVES</v>
      </c>
      <c r="G28" s="75">
        <f>IF(F28="SABADO",IF(FCAS!$D$62=2,1/2,0),IF(F28="DOMINGO",0,1))</f>
        <v>1</v>
      </c>
    </row>
    <row r="29" spans="1:7" x14ac:dyDescent="0.2">
      <c r="A29" s="14">
        <v>29</v>
      </c>
      <c r="D29" s="76">
        <v>39733</v>
      </c>
      <c r="E29" s="77" t="s">
        <v>846</v>
      </c>
      <c r="F29" s="74" t="str">
        <f>VLOOKUP(WEEKDAY(D29,1),TABLAS!$D$50:$E$56,2)</f>
        <v>DOMINGO</v>
      </c>
      <c r="G29" s="75">
        <f>IF(F29="SABADO",IF(FCAS!$D$62=2,1/2,0),IF(F29="DOMINGO",0,1))</f>
        <v>0</v>
      </c>
    </row>
    <row r="30" spans="1:7" x14ac:dyDescent="0.2">
      <c r="A30" s="14">
        <v>30</v>
      </c>
      <c r="D30" s="76">
        <v>39807</v>
      </c>
      <c r="E30" s="77" t="s">
        <v>847</v>
      </c>
      <c r="F30" s="74" t="str">
        <f>VLOOKUP(WEEKDAY(D30,1),TABLAS!$D$50:$E$56,2)</f>
        <v>JUEVES</v>
      </c>
      <c r="G30" s="75">
        <f>IF(F30="SABADO",IF(FCAS!$D$62=2,1/2,0),IF(F30="DOMINGO",0,1))</f>
        <v>1</v>
      </c>
    </row>
    <row r="31" spans="1:7" x14ac:dyDescent="0.2">
      <c r="A31" s="14">
        <v>31</v>
      </c>
      <c r="G31" s="80">
        <f>SUM(G20:G30)</f>
        <v>8</v>
      </c>
    </row>
    <row r="32" spans="1:7" x14ac:dyDescent="0.2">
      <c r="A32" s="14">
        <v>32</v>
      </c>
    </row>
    <row r="33" spans="1:7" x14ac:dyDescent="0.2">
      <c r="A33" s="14">
        <v>33</v>
      </c>
      <c r="D33" s="66"/>
      <c r="E33" s="81"/>
      <c r="F33" s="68"/>
      <c r="G33" s="68"/>
    </row>
    <row r="34" spans="1:7" x14ac:dyDescent="0.2">
      <c r="A34" s="14">
        <v>34</v>
      </c>
      <c r="D34" s="69" t="s">
        <v>384</v>
      </c>
      <c r="E34" s="82" t="s">
        <v>834</v>
      </c>
      <c r="F34" s="71" t="s">
        <v>835</v>
      </c>
      <c r="G34" s="71" t="s">
        <v>836</v>
      </c>
    </row>
    <row r="35" spans="1:7" x14ac:dyDescent="0.2">
      <c r="A35" s="14">
        <v>35</v>
      </c>
      <c r="D35" s="72">
        <v>39814</v>
      </c>
      <c r="E35" s="73" t="s">
        <v>837</v>
      </c>
      <c r="F35" s="74" t="str">
        <f>VLOOKUP(WEEKDAY(D35,1),TABLAS!$D$50:$E$56,2)</f>
        <v>JUEVES</v>
      </c>
      <c r="G35" s="75">
        <f>IF(F35="SABADO",IF(FCAS!$D$62=2,1/2,0),IF(F35="DOMINGO",0,1))</f>
        <v>1</v>
      </c>
    </row>
    <row r="36" spans="1:7" x14ac:dyDescent="0.2">
      <c r="A36" s="14">
        <v>36</v>
      </c>
      <c r="D36" s="76">
        <v>39912</v>
      </c>
      <c r="E36" s="77" t="s">
        <v>838</v>
      </c>
      <c r="F36" s="74" t="str">
        <f>VLOOKUP(WEEKDAY(D36,1),TABLAS!$D$50:$E$56,2)</f>
        <v>JUEVES</v>
      </c>
      <c r="G36" s="75">
        <f>IF(F36="SABADO",IF(FCAS!$D$62=2,1/2,0),IF(F36="DOMINGO",0,1))</f>
        <v>1</v>
      </c>
    </row>
    <row r="37" spans="1:7" x14ac:dyDescent="0.2">
      <c r="A37" s="14">
        <v>37</v>
      </c>
      <c r="D37" s="76">
        <v>39913</v>
      </c>
      <c r="E37" s="77" t="s">
        <v>839</v>
      </c>
      <c r="F37" s="74" t="str">
        <f>VLOOKUP(WEEKDAY(D37,1),TABLAS!$D$50:$E$56,2)</f>
        <v>VIERNES</v>
      </c>
      <c r="G37" s="75">
        <f>IF(F37="SABADO",IF(FCAS!$D$62=2,1/2,0),IF(F37="DOMINGO",0,1))</f>
        <v>1</v>
      </c>
    </row>
    <row r="38" spans="1:7" x14ac:dyDescent="0.2">
      <c r="A38" s="14">
        <v>38</v>
      </c>
      <c r="D38" s="76">
        <v>39922</v>
      </c>
      <c r="E38" s="77" t="s">
        <v>840</v>
      </c>
      <c r="F38" s="74" t="str">
        <f>VLOOKUP(WEEKDAY(D38,1),TABLAS!$D$50:$E$56,2)</f>
        <v>DOMINGO</v>
      </c>
      <c r="G38" s="75">
        <f>IF(F38="SABADO",IF(FCAS!$D$62=2,1/2,0),IF(F38="DOMINGO",0,1))</f>
        <v>0</v>
      </c>
    </row>
    <row r="39" spans="1:7" x14ac:dyDescent="0.2">
      <c r="A39" s="14">
        <v>39</v>
      </c>
      <c r="D39" s="76">
        <v>39898</v>
      </c>
      <c r="E39" s="77" t="s">
        <v>841</v>
      </c>
      <c r="F39" s="74" t="str">
        <f>VLOOKUP(WEEKDAY(D39,1),TABLAS!$D$50:$E$56,2)</f>
        <v>JUEVES</v>
      </c>
      <c r="G39" s="75">
        <f>IF(F39="SABADO",IF(FCAS!$D$62=2,1/2,0),IF(F39="DOMINGO",0,1))</f>
        <v>1</v>
      </c>
    </row>
    <row r="40" spans="1:7" x14ac:dyDescent="0.2">
      <c r="A40" s="14">
        <v>40</v>
      </c>
      <c r="D40" s="76">
        <v>39934</v>
      </c>
      <c r="E40" s="77" t="s">
        <v>842</v>
      </c>
      <c r="F40" s="74" t="str">
        <f>VLOOKUP(WEEKDAY(D40,1),TABLAS!$D$50:$E$56,2)</f>
        <v>VIERNES</v>
      </c>
      <c r="G40" s="75">
        <f>IF(F40="SABADO",IF(FCAS!$D$62=2,1/2,0),IF(F40="DOMINGO",0,1))</f>
        <v>1</v>
      </c>
    </row>
    <row r="41" spans="1:7" x14ac:dyDescent="0.2">
      <c r="A41" s="14">
        <v>41</v>
      </c>
      <c r="D41" s="76">
        <v>39988</v>
      </c>
      <c r="E41" s="77" t="s">
        <v>843</v>
      </c>
      <c r="F41" s="74" t="str">
        <f>VLOOKUP(WEEKDAY(D41,1),TABLAS!$D$50:$E$56,2)</f>
        <v>MIERCOLES</v>
      </c>
      <c r="G41" s="75">
        <f>IF(F41="SABADO",IF(FCAS!$D$62=2,1/2,0),IF(F41="DOMINGO",0,1))</f>
        <v>1</v>
      </c>
    </row>
    <row r="42" spans="1:7" x14ac:dyDescent="0.2">
      <c r="A42" s="14">
        <v>42</v>
      </c>
      <c r="D42" s="76">
        <v>39999</v>
      </c>
      <c r="E42" s="77" t="s">
        <v>844</v>
      </c>
      <c r="F42" s="74" t="str">
        <f>VLOOKUP(WEEKDAY(D42,1),TABLAS!$D$50:$E$56,2)</f>
        <v>DOMINGO</v>
      </c>
      <c r="G42" s="75">
        <f>IF(F42="SABADO",IF(FCAS!$D$62=2,1/2,0),IF(F42="DOMINGO",0,1))</f>
        <v>0</v>
      </c>
    </row>
    <row r="43" spans="1:7" x14ac:dyDescent="0.2">
      <c r="A43" s="14">
        <v>43</v>
      </c>
      <c r="D43" s="76">
        <v>40018</v>
      </c>
      <c r="E43" s="77" t="s">
        <v>845</v>
      </c>
      <c r="F43" s="74" t="str">
        <f>VLOOKUP(WEEKDAY(D43,1),TABLAS!$D$50:$E$56,2)</f>
        <v>VIERNES</v>
      </c>
      <c r="G43" s="75">
        <f>IF(F43="SABADO",IF(FCAS!$D$62=2,1/2,0),IF(F43="DOMINGO",0,1))</f>
        <v>1</v>
      </c>
    </row>
    <row r="44" spans="1:7" x14ac:dyDescent="0.2">
      <c r="A44" s="14">
        <v>44</v>
      </c>
      <c r="D44" s="76">
        <v>40098</v>
      </c>
      <c r="E44" s="77" t="s">
        <v>846</v>
      </c>
      <c r="F44" s="74" t="str">
        <f>VLOOKUP(WEEKDAY(D44,1),TABLAS!$D$50:$E$56,2)</f>
        <v>LUNES</v>
      </c>
      <c r="G44" s="75">
        <f>IF(F44="SABADO",IF(FCAS!$D$62=2,1/2,0),IF(F44="DOMINGO",0,1))</f>
        <v>1</v>
      </c>
    </row>
    <row r="45" spans="1:7" x14ac:dyDescent="0.2">
      <c r="A45" s="14">
        <v>45</v>
      </c>
      <c r="D45" s="76">
        <v>40172</v>
      </c>
      <c r="E45" s="77" t="s">
        <v>847</v>
      </c>
      <c r="F45" s="74" t="str">
        <f>VLOOKUP(WEEKDAY(D45,1),TABLAS!$D$50:$E$56,2)</f>
        <v>VIERNES</v>
      </c>
      <c r="G45" s="75">
        <f>IF(F45="SABADO",IF(FCAS!$D$62=2,1/2,0),IF(F45="DOMINGO",0,1))</f>
        <v>1</v>
      </c>
    </row>
    <row r="46" spans="1:7" x14ac:dyDescent="0.2">
      <c r="A46" s="14">
        <v>46</v>
      </c>
      <c r="G46" s="80">
        <f>SUM(G35:G45)</f>
        <v>9</v>
      </c>
    </row>
    <row r="47" spans="1:7" x14ac:dyDescent="0.2">
      <c r="A47" s="14">
        <v>47</v>
      </c>
    </row>
    <row r="48" spans="1:7" x14ac:dyDescent="0.2">
      <c r="A48" s="14">
        <v>48</v>
      </c>
      <c r="D48" s="66"/>
      <c r="E48" s="81"/>
      <c r="F48" s="68"/>
      <c r="G48" s="68"/>
    </row>
    <row r="49" spans="1:7" x14ac:dyDescent="0.2">
      <c r="A49" s="14">
        <v>49</v>
      </c>
      <c r="D49" s="69" t="s">
        <v>384</v>
      </c>
      <c r="E49" s="82" t="s">
        <v>834</v>
      </c>
      <c r="F49" s="71" t="s">
        <v>835</v>
      </c>
      <c r="G49" s="71" t="s">
        <v>836</v>
      </c>
    </row>
    <row r="50" spans="1:7" x14ac:dyDescent="0.2">
      <c r="A50" s="14">
        <v>50</v>
      </c>
      <c r="D50" s="72">
        <v>40179</v>
      </c>
      <c r="E50" s="73" t="s">
        <v>837</v>
      </c>
      <c r="F50" s="74" t="str">
        <f>VLOOKUP(WEEKDAY(D50,1),TABLAS!$D$50:$E$56,2)</f>
        <v>VIERNES</v>
      </c>
      <c r="G50" s="75">
        <f>IF(F50="SABADO",IF(FCAS!$D$62=2,1/2,0),IF(F50="DOMINGO",0,1))</f>
        <v>1</v>
      </c>
    </row>
    <row r="51" spans="1:7" x14ac:dyDescent="0.2">
      <c r="A51" s="14">
        <v>51</v>
      </c>
      <c r="D51" s="76">
        <v>40269</v>
      </c>
      <c r="E51" s="77" t="s">
        <v>838</v>
      </c>
      <c r="F51" s="74" t="str">
        <f>VLOOKUP(WEEKDAY(D51,1),TABLAS!$D$50:$E$56,2)</f>
        <v>JUEVES</v>
      </c>
      <c r="G51" s="75">
        <f>IF(F51="SABADO",IF(FCAS!$D$62=2,1/2,0),IF(F51="DOMINGO",0,1))</f>
        <v>1</v>
      </c>
    </row>
    <row r="52" spans="1:7" x14ac:dyDescent="0.2">
      <c r="A52" s="14">
        <v>52</v>
      </c>
      <c r="D52" s="76">
        <v>40270</v>
      </c>
      <c r="E52" s="77" t="s">
        <v>839</v>
      </c>
      <c r="F52" s="74" t="str">
        <f>VLOOKUP(WEEKDAY(D52,1),TABLAS!$D$50:$E$56,2)</f>
        <v>VIERNES</v>
      </c>
      <c r="G52" s="75">
        <f>IF(F52="SABADO",IF(FCAS!$D$62=2,1/2,0),IF(F52="DOMINGO",0,1))</f>
        <v>1</v>
      </c>
    </row>
    <row r="53" spans="1:7" x14ac:dyDescent="0.2">
      <c r="A53" s="14">
        <v>53</v>
      </c>
      <c r="D53" s="76">
        <v>40287</v>
      </c>
      <c r="E53" s="77" t="s">
        <v>840</v>
      </c>
      <c r="F53" s="74" t="str">
        <f>VLOOKUP(WEEKDAY(D53,1),TABLAS!$D$50:$E$56,2)</f>
        <v>LUNES</v>
      </c>
      <c r="G53" s="75">
        <f>IF(F53="SABADO",IF(FCAS!$D$62=2,1/2,0),IF(F53="DOMINGO",0,1))</f>
        <v>1</v>
      </c>
    </row>
    <row r="54" spans="1:7" x14ac:dyDescent="0.2">
      <c r="A54" s="14">
        <v>54</v>
      </c>
      <c r="D54" s="76">
        <v>40263</v>
      </c>
      <c r="E54" s="77" t="s">
        <v>841</v>
      </c>
      <c r="F54" s="74" t="str">
        <f>VLOOKUP(WEEKDAY(D54,1),TABLAS!$D$50:$E$56,2)</f>
        <v>VIERNES</v>
      </c>
      <c r="G54" s="75">
        <f>IF(F54="SABADO",IF(FCAS!$D$62=2,1/2,0),IF(F54="DOMINGO",0,1))</f>
        <v>1</v>
      </c>
    </row>
    <row r="55" spans="1:7" x14ac:dyDescent="0.2">
      <c r="A55" s="14">
        <v>55</v>
      </c>
      <c r="D55" s="76">
        <v>40299</v>
      </c>
      <c r="E55" s="77" t="s">
        <v>842</v>
      </c>
      <c r="F55" s="74" t="str">
        <f>VLOOKUP(WEEKDAY(D55,1),TABLAS!$D$50:$E$56,2)</f>
        <v>SABADO</v>
      </c>
      <c r="G55" s="75">
        <f>IF(F55="SABADO",IF(FCAS!$D$62=2,1/2,0),IF(F55="DOMINGO",0,1))</f>
        <v>0</v>
      </c>
    </row>
    <row r="56" spans="1:7" x14ac:dyDescent="0.2">
      <c r="A56" s="14">
        <v>56</v>
      </c>
      <c r="D56" s="76">
        <v>40353</v>
      </c>
      <c r="E56" s="77" t="s">
        <v>843</v>
      </c>
      <c r="F56" s="74" t="str">
        <f>VLOOKUP(WEEKDAY(D56,1),TABLAS!$D$50:$E$56,2)</f>
        <v>JUEVES</v>
      </c>
      <c r="G56" s="75">
        <f>IF(F56="SABADO",IF(FCAS!$D$62=2,1/2,0),IF(F56="DOMINGO",0,1))</f>
        <v>1</v>
      </c>
    </row>
    <row r="57" spans="1:7" x14ac:dyDescent="0.2">
      <c r="A57" s="14">
        <v>57</v>
      </c>
      <c r="D57" s="76">
        <v>40364</v>
      </c>
      <c r="E57" s="77" t="s">
        <v>844</v>
      </c>
      <c r="F57" s="74" t="str">
        <f>VLOOKUP(WEEKDAY(D57,1),TABLAS!$D$50:$E$56,2)</f>
        <v>LUNES</v>
      </c>
      <c r="G57" s="75">
        <f>IF(F57="SABADO",IF(FCAS!$D$62=2,1/2,0),IF(F57="DOMINGO",0,1))</f>
        <v>1</v>
      </c>
    </row>
    <row r="58" spans="1:7" x14ac:dyDescent="0.2">
      <c r="A58" s="14">
        <v>58</v>
      </c>
      <c r="D58" s="76">
        <v>40383</v>
      </c>
      <c r="E58" s="77" t="s">
        <v>845</v>
      </c>
      <c r="F58" s="74" t="str">
        <f>VLOOKUP(WEEKDAY(D58,1),TABLAS!$D$50:$E$56,2)</f>
        <v>SABADO</v>
      </c>
      <c r="G58" s="75">
        <f>IF(F58="SABADO",IF(FCAS!$D$62=2,1/2,0),IF(F58="DOMINGO",0,1))</f>
        <v>0</v>
      </c>
    </row>
    <row r="59" spans="1:7" x14ac:dyDescent="0.2">
      <c r="A59" s="14">
        <v>59</v>
      </c>
      <c r="D59" s="76">
        <v>40463</v>
      </c>
      <c r="E59" s="77" t="s">
        <v>846</v>
      </c>
      <c r="F59" s="74" t="str">
        <f>VLOOKUP(WEEKDAY(D59,1),TABLAS!$D$50:$E$56,2)</f>
        <v>MARTES</v>
      </c>
      <c r="G59" s="75">
        <f>IF(F59="SABADO",IF(FCAS!$D$62=2,1/2,0),IF(F59="DOMINGO",0,1))</f>
        <v>1</v>
      </c>
    </row>
    <row r="60" spans="1:7" x14ac:dyDescent="0.2">
      <c r="A60" s="14">
        <v>60</v>
      </c>
      <c r="D60" s="76">
        <v>40537</v>
      </c>
      <c r="E60" s="77" t="s">
        <v>847</v>
      </c>
      <c r="F60" s="74" t="str">
        <f>VLOOKUP(WEEKDAY(D60,1),TABLAS!$D$50:$E$56,2)</f>
        <v>SABADO</v>
      </c>
      <c r="G60" s="75">
        <f>IF(F60="SABADO",IF(FCAS!$D$62=2,1/2,0),IF(F60="DOMINGO",0,1))</f>
        <v>0</v>
      </c>
    </row>
    <row r="61" spans="1:7" x14ac:dyDescent="0.2">
      <c r="A61" s="14">
        <v>61</v>
      </c>
      <c r="G61" s="80">
        <f>SUM(G50:G60)</f>
        <v>8</v>
      </c>
    </row>
    <row r="62" spans="1:7" x14ac:dyDescent="0.2">
      <c r="A62" s="14">
        <v>62</v>
      </c>
    </row>
    <row r="63" spans="1:7" x14ac:dyDescent="0.2">
      <c r="A63" s="14">
        <v>63</v>
      </c>
    </row>
    <row r="64" spans="1:7" x14ac:dyDescent="0.2">
      <c r="A64" s="14">
        <v>64</v>
      </c>
      <c r="D64" s="66"/>
      <c r="E64" s="81"/>
      <c r="F64" s="68"/>
      <c r="G64" s="68"/>
    </row>
    <row r="65" spans="1:7" x14ac:dyDescent="0.2">
      <c r="A65" s="14">
        <v>65</v>
      </c>
      <c r="D65" s="69" t="s">
        <v>384</v>
      </c>
      <c r="E65" s="82" t="s">
        <v>834</v>
      </c>
      <c r="F65" s="71" t="s">
        <v>835</v>
      </c>
      <c r="G65" s="71" t="s">
        <v>836</v>
      </c>
    </row>
    <row r="66" spans="1:7" x14ac:dyDescent="0.2">
      <c r="A66" s="14">
        <v>66</v>
      </c>
      <c r="D66" s="72">
        <v>40544</v>
      </c>
      <c r="E66" s="73" t="s">
        <v>837</v>
      </c>
      <c r="F66" s="74" t="str">
        <f>VLOOKUP(WEEKDAY(D66,1),TABLAS!$D$50:$E$56,2)</f>
        <v>SABADO</v>
      </c>
      <c r="G66" s="75">
        <f>IF(F66="SABADO",IF(FCAS!$D$62=2,1/2,0),IF(F66="DOMINGO",0,1))</f>
        <v>0</v>
      </c>
    </row>
    <row r="67" spans="1:7" x14ac:dyDescent="0.2">
      <c r="A67" s="14">
        <v>67</v>
      </c>
      <c r="D67" s="76">
        <v>40609</v>
      </c>
      <c r="E67" s="77" t="s">
        <v>838</v>
      </c>
      <c r="F67" s="74" t="str">
        <f>VLOOKUP(WEEKDAY(D67,1),TABLAS!$D$50:$E$56,2)</f>
        <v>LUNES</v>
      </c>
      <c r="G67" s="75">
        <f>IF(F67="SABADO",IF(FCAS!$D$62=2,1/2,0),IF(F67="DOMINGO",0,1))</f>
        <v>1</v>
      </c>
    </row>
    <row r="68" spans="1:7" x14ac:dyDescent="0.2">
      <c r="A68" s="14">
        <v>68</v>
      </c>
      <c r="D68" s="76">
        <v>40610</v>
      </c>
      <c r="E68" s="77" t="s">
        <v>839</v>
      </c>
      <c r="F68" s="74" t="str">
        <f>VLOOKUP(WEEKDAY(D68,1),TABLAS!$D$50:$E$56,2)</f>
        <v>MARTES</v>
      </c>
      <c r="G68" s="75">
        <f>IF(F68="SABADO",IF(FCAS!$D$62=2,1/2,0),IF(F68="DOMINGO",0,1))</f>
        <v>1</v>
      </c>
    </row>
    <row r="69" spans="1:7" x14ac:dyDescent="0.2">
      <c r="A69" s="14">
        <v>69</v>
      </c>
      <c r="D69" s="76">
        <v>40652</v>
      </c>
      <c r="E69" s="77" t="s">
        <v>840</v>
      </c>
      <c r="F69" s="74" t="str">
        <f>VLOOKUP(WEEKDAY(D69,1),TABLAS!$D$50:$E$56,2)</f>
        <v>MARTES</v>
      </c>
      <c r="G69" s="75">
        <f>IF(F69="SABADO",IF(FCAS!$D$62=2,1/2,0),IF(F69="DOMINGO",0,1))</f>
        <v>1</v>
      </c>
    </row>
    <row r="70" spans="1:7" x14ac:dyDescent="0.2">
      <c r="A70" s="14">
        <v>70</v>
      </c>
      <c r="D70" s="76">
        <v>40628</v>
      </c>
      <c r="E70" s="77" t="s">
        <v>841</v>
      </c>
      <c r="F70" s="74" t="str">
        <f>VLOOKUP(WEEKDAY(D70,1),TABLAS!$D$50:$E$56,2)</f>
        <v>SABADO</v>
      </c>
      <c r="G70" s="75">
        <f>IF(F70="SABADO",IF(FCAS!$D$62=2,1/2,0),IF(F70="DOMINGO",0,1))</f>
        <v>0</v>
      </c>
    </row>
    <row r="71" spans="1:7" x14ac:dyDescent="0.2">
      <c r="A71" s="14">
        <v>71</v>
      </c>
      <c r="D71" s="76">
        <v>40664</v>
      </c>
      <c r="E71" s="77" t="s">
        <v>842</v>
      </c>
      <c r="F71" s="74" t="str">
        <f>VLOOKUP(WEEKDAY(D71,1),TABLAS!$D$50:$E$56,2)</f>
        <v>DOMINGO</v>
      </c>
      <c r="G71" s="75">
        <f>IF(F71="SABADO",IF(FCAS!$D$62=2,1/2,0),IF(F71="DOMINGO",0,1))</f>
        <v>0</v>
      </c>
    </row>
    <row r="72" spans="1:7" x14ac:dyDescent="0.2">
      <c r="A72" s="14">
        <v>72</v>
      </c>
      <c r="D72" s="76">
        <v>40718</v>
      </c>
      <c r="E72" s="77" t="s">
        <v>843</v>
      </c>
      <c r="F72" s="74" t="str">
        <f>VLOOKUP(WEEKDAY(D72,1),TABLAS!$D$50:$E$56,2)</f>
        <v>VIERNES</v>
      </c>
      <c r="G72" s="75">
        <f>IF(F72="SABADO",IF(FCAS!$D$62=2,1/2,0),IF(F72="DOMINGO",0,1))</f>
        <v>1</v>
      </c>
    </row>
    <row r="73" spans="1:7" x14ac:dyDescent="0.2">
      <c r="A73" s="14">
        <v>73</v>
      </c>
      <c r="D73" s="76">
        <v>40729</v>
      </c>
      <c r="E73" s="77" t="s">
        <v>844</v>
      </c>
      <c r="F73" s="74" t="str">
        <f>VLOOKUP(WEEKDAY(D73,1),TABLAS!$D$50:$E$56,2)</f>
        <v>MARTES</v>
      </c>
      <c r="G73" s="75">
        <f>IF(F73="SABADO",IF(FCAS!$D$62=2,1/2,0),IF(F73="DOMINGO",0,1))</f>
        <v>1</v>
      </c>
    </row>
    <row r="74" spans="1:7" x14ac:dyDescent="0.2">
      <c r="A74" s="14">
        <v>74</v>
      </c>
      <c r="D74" s="76">
        <v>40748</v>
      </c>
      <c r="E74" s="77" t="s">
        <v>845</v>
      </c>
      <c r="F74" s="74" t="str">
        <f>VLOOKUP(WEEKDAY(D74,1),TABLAS!$D$50:$E$56,2)</f>
        <v>DOMINGO</v>
      </c>
      <c r="G74" s="75">
        <f>IF(F74="SABADO",IF(FCAS!$D$62=2,1/2,0),IF(F74="DOMINGO",0,1))</f>
        <v>0</v>
      </c>
    </row>
    <row r="75" spans="1:7" x14ac:dyDescent="0.2">
      <c r="A75" s="14">
        <v>75</v>
      </c>
      <c r="D75" s="76">
        <v>40828</v>
      </c>
      <c r="E75" s="77" t="s">
        <v>846</v>
      </c>
      <c r="F75" s="74" t="str">
        <f>VLOOKUP(WEEKDAY(D75,1),TABLAS!$D$50:$E$56,2)</f>
        <v>MIERCOLES</v>
      </c>
      <c r="G75" s="75">
        <f>IF(F75="SABADO",IF(FCAS!$D$62=2,1/2,0),IF(F75="DOMINGO",0,1))</f>
        <v>1</v>
      </c>
    </row>
    <row r="76" spans="1:7" x14ac:dyDescent="0.2">
      <c r="A76" s="14">
        <v>76</v>
      </c>
      <c r="D76" s="76">
        <v>40902</v>
      </c>
      <c r="E76" s="77" t="s">
        <v>847</v>
      </c>
      <c r="F76" s="74" t="str">
        <f>VLOOKUP(WEEKDAY(D76,1),TABLAS!$D$50:$E$56,2)</f>
        <v>DOMINGO</v>
      </c>
      <c r="G76" s="75">
        <f>IF(F76="SABADO",IF(FCAS!$D$62=2,1/2,0),IF(F76="DOMINGO",0,1))</f>
        <v>0</v>
      </c>
    </row>
    <row r="77" spans="1:7" x14ac:dyDescent="0.2">
      <c r="A77" s="14">
        <v>77</v>
      </c>
      <c r="G77" s="80">
        <f>SUM(G66:G76)</f>
        <v>6</v>
      </c>
    </row>
    <row r="78" spans="1:7" x14ac:dyDescent="0.2">
      <c r="A78" s="14">
        <v>78</v>
      </c>
    </row>
    <row r="79" spans="1:7" x14ac:dyDescent="0.2">
      <c r="A79" s="14">
        <v>79</v>
      </c>
    </row>
    <row r="80" spans="1:7" x14ac:dyDescent="0.2">
      <c r="A80" s="14">
        <v>80</v>
      </c>
      <c r="D80" s="66"/>
      <c r="E80" s="81"/>
      <c r="F80" s="68"/>
      <c r="G80" s="68"/>
    </row>
    <row r="81" spans="1:7" x14ac:dyDescent="0.2">
      <c r="A81" s="14">
        <v>81</v>
      </c>
      <c r="D81" s="69" t="s">
        <v>384</v>
      </c>
      <c r="E81" s="82" t="s">
        <v>834</v>
      </c>
      <c r="F81" s="71" t="s">
        <v>835</v>
      </c>
      <c r="G81" s="71" t="s">
        <v>836</v>
      </c>
    </row>
    <row r="82" spans="1:7" x14ac:dyDescent="0.2">
      <c r="A82" s="14">
        <v>82</v>
      </c>
      <c r="D82" s="72">
        <v>40909</v>
      </c>
      <c r="E82" s="73" t="s">
        <v>837</v>
      </c>
      <c r="F82" s="74" t="str">
        <f>VLOOKUP(WEEKDAY(D82,1),TABLAS!$D$50:$E$56,2)</f>
        <v>DOMINGO</v>
      </c>
      <c r="G82" s="75">
        <f>IF(F82="SABADO",IF(FCAS!$D$62=2,0,0),IF(F82="DOMINGO",0,1))</f>
        <v>0</v>
      </c>
    </row>
    <row r="83" spans="1:7" x14ac:dyDescent="0.2">
      <c r="A83" s="14">
        <v>83</v>
      </c>
      <c r="D83" s="72">
        <v>40959</v>
      </c>
      <c r="E83" s="73" t="s">
        <v>848</v>
      </c>
      <c r="F83" s="74" t="str">
        <f>VLOOKUP(WEEKDAY(D83,1),TABLAS!$D$50:$E$56,2)</f>
        <v>LUNES</v>
      </c>
      <c r="G83" s="75">
        <f>IF(F83="SABADO",IF(FCAS!$D$62=2,0,0),IF(F83="DOMINGO",0,1))</f>
        <v>1</v>
      </c>
    </row>
    <row r="84" spans="1:7" x14ac:dyDescent="0.2">
      <c r="A84" s="14">
        <v>84</v>
      </c>
      <c r="D84" s="72">
        <v>40960</v>
      </c>
      <c r="E84" s="73" t="s">
        <v>848</v>
      </c>
      <c r="F84" s="74" t="str">
        <f>VLOOKUP(WEEKDAY(D84,1),TABLAS!$D$50:$E$56,2)</f>
        <v>MARTES</v>
      </c>
      <c r="G84" s="75">
        <f>IF(F84="SABADO",IF(FCAS!$D$62=2,0,0),IF(F84="DOMINGO",0,1))</f>
        <v>1</v>
      </c>
    </row>
    <row r="85" spans="1:7" x14ac:dyDescent="0.2">
      <c r="A85" s="14">
        <v>85</v>
      </c>
      <c r="D85" s="76">
        <v>41004</v>
      </c>
      <c r="E85" s="77" t="s">
        <v>838</v>
      </c>
      <c r="F85" s="74" t="str">
        <f>VLOOKUP(WEEKDAY(D85,1),TABLAS!$D$50:$E$56,2)</f>
        <v>JUEVES</v>
      </c>
      <c r="G85" s="75">
        <f>IF(F85="SABADO",IF(FCAS!$D$62=2,0,0),IF(F85="DOMINGO",0,1))</f>
        <v>1</v>
      </c>
    </row>
    <row r="86" spans="1:7" x14ac:dyDescent="0.2">
      <c r="A86" s="14">
        <v>86</v>
      </c>
      <c r="D86" s="76">
        <v>41005</v>
      </c>
      <c r="E86" s="77" t="s">
        <v>839</v>
      </c>
      <c r="F86" s="74" t="str">
        <f>VLOOKUP(WEEKDAY(D86,1),TABLAS!$D$50:$E$56,2)</f>
        <v>VIERNES</v>
      </c>
      <c r="G86" s="75">
        <f>IF(F86="SABADO",IF(FCAS!$D$62=2,0,0),IF(F86="DOMINGO",0,1))</f>
        <v>1</v>
      </c>
    </row>
    <row r="87" spans="1:7" x14ac:dyDescent="0.2">
      <c r="A87" s="14">
        <v>87</v>
      </c>
      <c r="D87" s="76">
        <v>41018</v>
      </c>
      <c r="E87" s="77" t="s">
        <v>840</v>
      </c>
      <c r="F87" s="74" t="str">
        <f>VLOOKUP(WEEKDAY(D87,1),TABLAS!$D$50:$E$56,2)</f>
        <v>JUEVES</v>
      </c>
      <c r="G87" s="75">
        <f>IF(F87="SABADO",IF(FCAS!$D$62=2,0,0),IF(F87="DOMINGO",0,1))</f>
        <v>1</v>
      </c>
    </row>
    <row r="88" spans="1:7" x14ac:dyDescent="0.2">
      <c r="A88" s="14">
        <v>88</v>
      </c>
      <c r="D88" s="76">
        <v>40994</v>
      </c>
      <c r="E88" s="77" t="s">
        <v>841</v>
      </c>
      <c r="F88" s="74" t="str">
        <f>VLOOKUP(WEEKDAY(D88,1),TABLAS!$D$50:$E$56,2)</f>
        <v>LUNES</v>
      </c>
      <c r="G88" s="75">
        <f>IF(F88="SABADO",IF(FCAS!$D$62=2,0,0),IF(F88="DOMINGO",0,1))</f>
        <v>1</v>
      </c>
    </row>
    <row r="89" spans="1:7" x14ac:dyDescent="0.2">
      <c r="A89" s="14">
        <v>89</v>
      </c>
      <c r="D89" s="76">
        <v>41030</v>
      </c>
      <c r="E89" s="77" t="s">
        <v>842</v>
      </c>
      <c r="F89" s="74" t="str">
        <f>VLOOKUP(WEEKDAY(D89,1),TABLAS!$D$50:$E$56,2)</f>
        <v>MARTES</v>
      </c>
      <c r="G89" s="75">
        <f>IF(F89="SABADO",IF(FCAS!$D$62=2,0,0),IF(F89="DOMINGO",0,1))</f>
        <v>1</v>
      </c>
    </row>
    <row r="90" spans="1:7" x14ac:dyDescent="0.2">
      <c r="A90" s="14">
        <v>90</v>
      </c>
      <c r="D90" s="76">
        <v>41084</v>
      </c>
      <c r="E90" s="77" t="s">
        <v>843</v>
      </c>
      <c r="F90" s="74" t="str">
        <f>VLOOKUP(WEEKDAY(D90,1),TABLAS!$D$50:$E$56,2)</f>
        <v>DOMINGO</v>
      </c>
      <c r="G90" s="75">
        <f>IF(F90="SABADO",IF(FCAS!$D$62=2,0,0),IF(F90="DOMINGO",0,1))</f>
        <v>0</v>
      </c>
    </row>
    <row r="91" spans="1:7" x14ac:dyDescent="0.2">
      <c r="A91" s="14">
        <v>91</v>
      </c>
      <c r="D91" s="76">
        <v>41095</v>
      </c>
      <c r="E91" s="77" t="s">
        <v>844</v>
      </c>
      <c r="F91" s="74" t="str">
        <f>VLOOKUP(WEEKDAY(D91,1),TABLAS!$D$50:$E$56,2)</f>
        <v>JUEVES</v>
      </c>
      <c r="G91" s="75">
        <f>IF(F91="SABADO",IF(FCAS!$D$62=2,0,0),IF(F91="DOMINGO",0,1))</f>
        <v>1</v>
      </c>
    </row>
    <row r="92" spans="1:7" x14ac:dyDescent="0.2">
      <c r="A92" s="14">
        <v>92</v>
      </c>
      <c r="D92" s="76">
        <v>41114</v>
      </c>
      <c r="E92" s="77" t="s">
        <v>845</v>
      </c>
      <c r="F92" s="74" t="str">
        <f>VLOOKUP(WEEKDAY(D92,1),TABLAS!$D$50:$E$56,2)</f>
        <v>MARTES</v>
      </c>
      <c r="G92" s="75">
        <f>IF(F92="SABADO",IF(FCAS!$D$62=2,0,0),IF(F92="DOMINGO",0,1))</f>
        <v>1</v>
      </c>
    </row>
    <row r="93" spans="1:7" x14ac:dyDescent="0.2">
      <c r="A93" s="14">
        <v>93</v>
      </c>
      <c r="D93" s="76">
        <v>41194</v>
      </c>
      <c r="E93" s="77" t="s">
        <v>846</v>
      </c>
      <c r="F93" s="74" t="str">
        <f>VLOOKUP(WEEKDAY(D93,1),TABLAS!$D$50:$E$56,2)</f>
        <v>VIERNES</v>
      </c>
      <c r="G93" s="75">
        <f>IF(F93="SABADO",IF(FCAS!$D$62=2,0,0),IF(F93="DOMINGO",0,1))</f>
        <v>1</v>
      </c>
    </row>
    <row r="94" spans="1:7" x14ac:dyDescent="0.2">
      <c r="A94" s="14">
        <v>94</v>
      </c>
      <c r="D94" s="76">
        <v>41267</v>
      </c>
      <c r="E94" s="77" t="s">
        <v>847</v>
      </c>
      <c r="F94" s="74" t="str">
        <f>VLOOKUP(WEEKDAY(D94,1),TABLAS!$D$50:$E$56,2)</f>
        <v>LUNES</v>
      </c>
      <c r="G94" s="75">
        <f>IF(F94="SABADO",IF(FCAS!$D$62=2,0,0),IF(F94="DOMINGO",0,1))</f>
        <v>1</v>
      </c>
    </row>
    <row r="95" spans="1:7" x14ac:dyDescent="0.2">
      <c r="A95" s="14">
        <v>95</v>
      </c>
      <c r="D95" s="76">
        <v>41268</v>
      </c>
      <c r="E95" s="77" t="s">
        <v>847</v>
      </c>
      <c r="F95" s="74" t="str">
        <f>VLOOKUP(WEEKDAY(D95,1),TABLAS!$D$50:$E$56,2)</f>
        <v>MARTES</v>
      </c>
      <c r="G95" s="75">
        <f>IF(F95="SABADO",IF(FCAS!$D$62=2,0,0),IF(F95="DOMINGO",0,1))</f>
        <v>1</v>
      </c>
    </row>
    <row r="96" spans="1:7" x14ac:dyDescent="0.2">
      <c r="A96" s="14">
        <v>96</v>
      </c>
      <c r="G96" s="80">
        <f>SUM(G82:G95)</f>
        <v>12</v>
      </c>
    </row>
    <row r="97" spans="1:7" x14ac:dyDescent="0.2">
      <c r="A97" s="14">
        <v>97</v>
      </c>
    </row>
    <row r="98" spans="1:7" x14ac:dyDescent="0.2">
      <c r="A98" s="14">
        <v>98</v>
      </c>
    </row>
    <row r="99" spans="1:7" x14ac:dyDescent="0.2">
      <c r="A99" s="14">
        <v>99</v>
      </c>
      <c r="D99" s="66"/>
      <c r="E99" s="81"/>
      <c r="F99" s="68"/>
      <c r="G99" s="68"/>
    </row>
    <row r="100" spans="1:7" x14ac:dyDescent="0.2">
      <c r="A100" s="14">
        <v>100</v>
      </c>
      <c r="D100" s="69" t="s">
        <v>384</v>
      </c>
      <c r="E100" s="82" t="s">
        <v>834</v>
      </c>
      <c r="F100" s="71" t="s">
        <v>835</v>
      </c>
      <c r="G100" s="71" t="s">
        <v>836</v>
      </c>
    </row>
    <row r="101" spans="1:7" x14ac:dyDescent="0.2">
      <c r="A101" s="14">
        <v>101</v>
      </c>
      <c r="D101" s="72">
        <v>41275</v>
      </c>
      <c r="E101" s="73" t="s">
        <v>837</v>
      </c>
      <c r="F101" s="74" t="str">
        <f>VLOOKUP(WEEKDAY(D101,1),TABLAS!$D$50:$E$56,2)</f>
        <v>MARTES</v>
      </c>
      <c r="G101" s="75">
        <f>IF(F101="SABADO",IF(FCAS!$D$62=2,0,0),IF(F101="DOMINGO",0,1))</f>
        <v>1</v>
      </c>
    </row>
    <row r="102" spans="1:7" x14ac:dyDescent="0.2">
      <c r="A102" s="14">
        <v>102</v>
      </c>
      <c r="D102" s="72">
        <v>41316</v>
      </c>
      <c r="E102" s="73" t="s">
        <v>848</v>
      </c>
      <c r="F102" s="74" t="str">
        <f>VLOOKUP(WEEKDAY(D102,1),TABLAS!$D$50:$E$56,2)</f>
        <v>LUNES</v>
      </c>
      <c r="G102" s="75">
        <f>IF(F102="SABADO",IF(FCAS!$D$62=2,0,0),IF(F102="DOMINGO",0,1))</f>
        <v>1</v>
      </c>
    </row>
    <row r="103" spans="1:7" x14ac:dyDescent="0.2">
      <c r="A103" s="14">
        <v>103</v>
      </c>
      <c r="D103" s="72">
        <v>41317</v>
      </c>
      <c r="E103" s="73" t="s">
        <v>848</v>
      </c>
      <c r="F103" s="74" t="str">
        <f>VLOOKUP(WEEKDAY(D103,1),TABLAS!$D$50:$E$56,2)</f>
        <v>MARTES</v>
      </c>
      <c r="G103" s="75">
        <f>IF(F103="SABADO",IF(FCAS!$D$62=2,0,0),IF(F103="DOMINGO",0,1))</f>
        <v>1</v>
      </c>
    </row>
    <row r="104" spans="1:7" x14ac:dyDescent="0.2">
      <c r="A104" s="14">
        <v>104</v>
      </c>
      <c r="D104" s="76">
        <v>41361</v>
      </c>
      <c r="E104" s="77" t="s">
        <v>838</v>
      </c>
      <c r="F104" s="74" t="str">
        <f>VLOOKUP(WEEKDAY(D104,1),TABLAS!$D$50:$E$56,2)</f>
        <v>JUEVES</v>
      </c>
      <c r="G104" s="75">
        <f>IF(F104="SABADO",IF(FCAS!$D$62=2,0,0),IF(F104="DOMINGO",0,1))</f>
        <v>1</v>
      </c>
    </row>
    <row r="105" spans="1:7" x14ac:dyDescent="0.2">
      <c r="A105" s="14">
        <v>105</v>
      </c>
      <c r="D105" s="76">
        <v>41362</v>
      </c>
      <c r="E105" s="77" t="s">
        <v>839</v>
      </c>
      <c r="F105" s="74" t="str">
        <f>VLOOKUP(WEEKDAY(D105,1),TABLAS!$D$50:$E$56,2)</f>
        <v>VIERNES</v>
      </c>
      <c r="G105" s="75">
        <f>IF(F105="SABADO",IF(FCAS!$D$62=2,0,0),IF(F105="DOMINGO",0,1))</f>
        <v>1</v>
      </c>
    </row>
    <row r="106" spans="1:7" x14ac:dyDescent="0.2">
      <c r="A106" s="14">
        <v>106</v>
      </c>
      <c r="D106" s="76">
        <v>41383</v>
      </c>
      <c r="E106" s="77" t="s">
        <v>840</v>
      </c>
      <c r="F106" s="74" t="str">
        <f>VLOOKUP(WEEKDAY(D106,1),TABLAS!$D$50:$E$56,2)</f>
        <v>VIERNES</v>
      </c>
      <c r="G106" s="75">
        <f>IF(F106="SABADO",IF(FCAS!$D$62=2,0,0),IF(F106="DOMINGO",0,1))</f>
        <v>1</v>
      </c>
    </row>
    <row r="107" spans="1:7" x14ac:dyDescent="0.2">
      <c r="A107" s="14">
        <v>107</v>
      </c>
      <c r="D107" s="76">
        <v>41359</v>
      </c>
      <c r="E107" s="77" t="s">
        <v>841</v>
      </c>
      <c r="F107" s="74" t="str">
        <f>VLOOKUP(WEEKDAY(D107,1),TABLAS!$D$50:$E$56,2)</f>
        <v>MARTES</v>
      </c>
      <c r="G107" s="75">
        <f>IF(F107="SABADO",IF(FCAS!$D$62=2,0,0),IF(F107="DOMINGO",0,1))</f>
        <v>1</v>
      </c>
    </row>
    <row r="108" spans="1:7" x14ac:dyDescent="0.2">
      <c r="A108" s="14">
        <v>108</v>
      </c>
      <c r="D108" s="76">
        <v>41395</v>
      </c>
      <c r="E108" s="77" t="s">
        <v>842</v>
      </c>
      <c r="F108" s="74" t="str">
        <f>VLOOKUP(WEEKDAY(D108,1),TABLAS!$D$50:$E$56,2)</f>
        <v>MIERCOLES</v>
      </c>
      <c r="G108" s="75">
        <f>IF(F108="SABADO",IF(FCAS!$D$62=2,0,0),IF(F108="DOMINGO",0,1))</f>
        <v>1</v>
      </c>
    </row>
    <row r="109" spans="1:7" x14ac:dyDescent="0.2">
      <c r="A109" s="14">
        <v>109</v>
      </c>
      <c r="D109" s="76">
        <v>41449</v>
      </c>
      <c r="E109" s="77" t="s">
        <v>843</v>
      </c>
      <c r="F109" s="74" t="str">
        <f>VLOOKUP(WEEKDAY(D109,1),TABLAS!$D$50:$E$56,2)</f>
        <v>LUNES</v>
      </c>
      <c r="G109" s="75">
        <f>IF(F109="SABADO",IF(FCAS!$D$62=2,0,0),IF(F109="DOMINGO",0,1))</f>
        <v>1</v>
      </c>
    </row>
    <row r="110" spans="1:7" x14ac:dyDescent="0.2">
      <c r="A110" s="14">
        <v>110</v>
      </c>
      <c r="D110" s="76">
        <v>41460</v>
      </c>
      <c r="E110" s="77" t="s">
        <v>844</v>
      </c>
      <c r="F110" s="74" t="str">
        <f>VLOOKUP(WEEKDAY(D110,1),TABLAS!$D$50:$E$56,2)</f>
        <v>VIERNES</v>
      </c>
      <c r="G110" s="75">
        <f>IF(F110="SABADO",IF(FCAS!$D$62=2,0,0),IF(F110="DOMINGO",0,1))</f>
        <v>1</v>
      </c>
    </row>
    <row r="111" spans="1:7" x14ac:dyDescent="0.2">
      <c r="A111" s="14">
        <v>111</v>
      </c>
      <c r="D111" s="76">
        <v>41479</v>
      </c>
      <c r="E111" s="77" t="s">
        <v>845</v>
      </c>
      <c r="F111" s="74" t="str">
        <f>VLOOKUP(WEEKDAY(D111,1),TABLAS!$D$50:$E$56,2)</f>
        <v>MIERCOLES</v>
      </c>
      <c r="G111" s="75">
        <f>IF(F111="SABADO",IF(FCAS!$D$62=2,0,0),IF(F111="DOMINGO",0,1))</f>
        <v>1</v>
      </c>
    </row>
    <row r="112" spans="1:7" x14ac:dyDescent="0.2">
      <c r="A112" s="14">
        <v>112</v>
      </c>
      <c r="D112" s="76">
        <v>41559</v>
      </c>
      <c r="E112" s="77" t="s">
        <v>846</v>
      </c>
      <c r="F112" s="74" t="str">
        <f>VLOOKUP(WEEKDAY(D112,1),TABLAS!$D$50:$E$56,2)</f>
        <v>SABADO</v>
      </c>
      <c r="G112" s="75">
        <f>IF(F112="SABADO",IF(FCAS!$D$62=2,0,0),IF(F112="DOMINGO",0,1))</f>
        <v>0</v>
      </c>
    </row>
    <row r="113" spans="1:7" x14ac:dyDescent="0.2">
      <c r="A113" s="14">
        <v>113</v>
      </c>
      <c r="D113" s="76">
        <v>41632</v>
      </c>
      <c r="E113" s="77" t="s">
        <v>847</v>
      </c>
      <c r="F113" s="74" t="str">
        <f>VLOOKUP(WEEKDAY(D113,1),TABLAS!$D$50:$E$56,2)</f>
        <v>MARTES</v>
      </c>
      <c r="G113" s="75">
        <f>IF(F113="SABADO",IF(FCAS!$D$62=2,0,0),IF(F113="DOMINGO",0,1))</f>
        <v>1</v>
      </c>
    </row>
    <row r="114" spans="1:7" x14ac:dyDescent="0.2">
      <c r="A114" s="14">
        <v>114</v>
      </c>
      <c r="D114" s="76">
        <v>41633</v>
      </c>
      <c r="E114" s="77" t="s">
        <v>847</v>
      </c>
      <c r="F114" s="74" t="str">
        <f>VLOOKUP(WEEKDAY(D114,1),TABLAS!$D$50:$E$56,2)</f>
        <v>MIERCOLES</v>
      </c>
      <c r="G114" s="75">
        <f>IF(F114="SABADO",IF(FCAS!$D$62=2,0,0),IF(F114="DOMINGO",0,1))</f>
        <v>1</v>
      </c>
    </row>
    <row r="115" spans="1:7" x14ac:dyDescent="0.2">
      <c r="A115" s="14">
        <v>115</v>
      </c>
      <c r="D115" s="76">
        <v>41639</v>
      </c>
      <c r="E115" s="77" t="s">
        <v>847</v>
      </c>
      <c r="F115" s="74" t="str">
        <f>VLOOKUP(WEEKDAY(D115,1),TABLAS!$D$50:$E$56,2)</f>
        <v>MARTES</v>
      </c>
      <c r="G115" s="75">
        <f>IF(F115="SABADO",IF(FCAS!$D$62=2,0,0),IF(F115="DOMINGO",0,1))</f>
        <v>1</v>
      </c>
    </row>
    <row r="116" spans="1:7" x14ac:dyDescent="0.2">
      <c r="A116" s="14">
        <v>116</v>
      </c>
      <c r="G116" s="80">
        <f>SUM(G101:G114)</f>
        <v>13</v>
      </c>
    </row>
    <row r="117" spans="1:7" x14ac:dyDescent="0.2">
      <c r="A117" s="14">
        <v>117</v>
      </c>
    </row>
    <row r="118" spans="1:7" x14ac:dyDescent="0.2">
      <c r="A118" s="14">
        <v>118</v>
      </c>
    </row>
    <row r="119" spans="1:7" x14ac:dyDescent="0.2">
      <c r="A119" s="14">
        <v>119</v>
      </c>
      <c r="D119" s="66"/>
      <c r="E119" s="81"/>
      <c r="F119" s="68"/>
      <c r="G119" s="68"/>
    </row>
    <row r="120" spans="1:7" x14ac:dyDescent="0.2">
      <c r="A120" s="14">
        <v>120</v>
      </c>
      <c r="D120" s="69" t="s">
        <v>384</v>
      </c>
      <c r="E120" s="82" t="s">
        <v>834</v>
      </c>
      <c r="F120" s="71" t="s">
        <v>835</v>
      </c>
      <c r="G120" s="71" t="s">
        <v>836</v>
      </c>
    </row>
    <row r="121" spans="1:7" x14ac:dyDescent="0.2">
      <c r="A121" s="14">
        <v>121</v>
      </c>
      <c r="D121" s="72">
        <v>41640</v>
      </c>
      <c r="E121" s="73" t="s">
        <v>837</v>
      </c>
      <c r="F121" s="74" t="str">
        <f>VLOOKUP(WEEKDAY(D121,1),TABLAS!$D$50:$E$56,2)</f>
        <v>MIERCOLES</v>
      </c>
      <c r="G121" s="75">
        <f>IF(F121="SABADO",IF(FCAS!$D$62=2,0,0),IF(F121="DOMINGO",0,1))</f>
        <v>1</v>
      </c>
    </row>
    <row r="122" spans="1:7" x14ac:dyDescent="0.2">
      <c r="A122" s="14">
        <v>122</v>
      </c>
      <c r="D122" s="72">
        <v>41701</v>
      </c>
      <c r="E122" s="73" t="s">
        <v>848</v>
      </c>
      <c r="F122" s="74" t="str">
        <f>VLOOKUP(WEEKDAY(D122,1),TABLAS!$D$50:$E$56,2)</f>
        <v>LUNES</v>
      </c>
      <c r="G122" s="75">
        <f>IF(F122="SABADO",IF(FCAS!$D$62=2,0,0),IF(F122="DOMINGO",0,1))</f>
        <v>1</v>
      </c>
    </row>
    <row r="123" spans="1:7" x14ac:dyDescent="0.2">
      <c r="A123" s="14">
        <v>123</v>
      </c>
      <c r="D123" s="72">
        <v>41702</v>
      </c>
      <c r="E123" s="73" t="s">
        <v>848</v>
      </c>
      <c r="F123" s="74" t="str">
        <f>VLOOKUP(WEEKDAY(D123,1),TABLAS!$D$50:$E$56,2)</f>
        <v>MARTES</v>
      </c>
      <c r="G123" s="75">
        <f>IF(F123="SABADO",IF(FCAS!$D$62=2,0,0),IF(F123="DOMINGO",0,1))</f>
        <v>1</v>
      </c>
    </row>
    <row r="124" spans="1:7" x14ac:dyDescent="0.2">
      <c r="A124" s="14">
        <v>124</v>
      </c>
      <c r="D124" s="76">
        <v>41746</v>
      </c>
      <c r="E124" s="77" t="s">
        <v>838</v>
      </c>
      <c r="F124" s="74" t="str">
        <f>VLOOKUP(WEEKDAY(D124,1),TABLAS!$D$50:$E$56,2)</f>
        <v>JUEVES</v>
      </c>
      <c r="G124" s="75">
        <f>IF(F124="SABADO",IF(FCAS!$D$62=2,0,0),IF(F124="DOMINGO",0,1))</f>
        <v>1</v>
      </c>
    </row>
    <row r="125" spans="1:7" x14ac:dyDescent="0.2">
      <c r="A125" s="14">
        <v>125</v>
      </c>
      <c r="D125" s="76">
        <v>41747</v>
      </c>
      <c r="E125" s="77" t="s">
        <v>839</v>
      </c>
      <c r="F125" s="74" t="str">
        <f>VLOOKUP(WEEKDAY(D125,1),TABLAS!$D$50:$E$56,2)</f>
        <v>VIERNES</v>
      </c>
      <c r="G125" s="75">
        <f>IF(F125="SABADO",IF(FCAS!$D$62=2,0,0),IF(F125="DOMINGO",0,1))</f>
        <v>1</v>
      </c>
    </row>
    <row r="126" spans="1:7" x14ac:dyDescent="0.2">
      <c r="A126" s="14">
        <v>126</v>
      </c>
      <c r="D126" s="76">
        <v>41748</v>
      </c>
      <c r="E126" s="77" t="s">
        <v>840</v>
      </c>
      <c r="F126" s="74" t="str">
        <f>VLOOKUP(WEEKDAY(D126,1),TABLAS!$D$50:$E$56,2)</f>
        <v>SABADO</v>
      </c>
      <c r="G126" s="75">
        <f>IF(F126="SABADO",IF(FCAS!$D$62=2,0,0),IF(F126="DOMINGO",0,1))</f>
        <v>0</v>
      </c>
    </row>
    <row r="127" spans="1:7" x14ac:dyDescent="0.2">
      <c r="A127" s="14">
        <v>127</v>
      </c>
      <c r="D127" s="76">
        <v>41724</v>
      </c>
      <c r="E127" s="77" t="s">
        <v>841</v>
      </c>
      <c r="F127" s="74" t="str">
        <f>VLOOKUP(WEEKDAY(D127,1),TABLAS!$D$50:$E$56,2)</f>
        <v>MIERCOLES</v>
      </c>
      <c r="G127" s="75">
        <f>IF(F127="SABADO",IF(FCAS!$D$62=2,0,0),IF(F127="DOMINGO",0,1))</f>
        <v>1</v>
      </c>
    </row>
    <row r="128" spans="1:7" x14ac:dyDescent="0.2">
      <c r="A128" s="14">
        <v>128</v>
      </c>
      <c r="D128" s="76">
        <v>41760</v>
      </c>
      <c r="E128" s="77" t="s">
        <v>842</v>
      </c>
      <c r="F128" s="74" t="str">
        <f>VLOOKUP(WEEKDAY(D128,1),TABLAS!$D$50:$E$56,2)</f>
        <v>JUEVES</v>
      </c>
      <c r="G128" s="75">
        <f>IF(F128="SABADO",IF(FCAS!$D$62=2,0,0),IF(F128="DOMINGO",0,1))</f>
        <v>1</v>
      </c>
    </row>
    <row r="129" spans="1:7" x14ac:dyDescent="0.2">
      <c r="A129" s="14">
        <v>129</v>
      </c>
      <c r="D129" s="76">
        <v>41814</v>
      </c>
      <c r="E129" s="77" t="s">
        <v>843</v>
      </c>
      <c r="F129" s="74" t="str">
        <f>VLOOKUP(WEEKDAY(D129,1),TABLAS!$D$50:$E$56,2)</f>
        <v>MARTES</v>
      </c>
      <c r="G129" s="75">
        <f>IF(F129="SABADO",IF(FCAS!$D$62=2,0,0),IF(F129="DOMINGO",0,1))</f>
        <v>1</v>
      </c>
    </row>
    <row r="130" spans="1:7" x14ac:dyDescent="0.2">
      <c r="A130" s="14">
        <v>130</v>
      </c>
      <c r="D130" s="76">
        <v>41825</v>
      </c>
      <c r="E130" s="77" t="s">
        <v>844</v>
      </c>
      <c r="F130" s="74" t="str">
        <f>VLOOKUP(WEEKDAY(D130,1),TABLAS!$D$50:$E$56,2)</f>
        <v>SABADO</v>
      </c>
      <c r="G130" s="75">
        <f>IF(F130="SABADO",IF(FCAS!$D$62=2,0,0),IF(F130="DOMINGO",0,1))</f>
        <v>0</v>
      </c>
    </row>
    <row r="131" spans="1:7" x14ac:dyDescent="0.2">
      <c r="A131" s="14">
        <v>131</v>
      </c>
      <c r="D131" s="76">
        <v>41844</v>
      </c>
      <c r="E131" s="77" t="s">
        <v>845</v>
      </c>
      <c r="F131" s="74" t="str">
        <f>VLOOKUP(WEEKDAY(D131,1),TABLAS!$D$50:$E$56,2)</f>
        <v>JUEVES</v>
      </c>
      <c r="G131" s="75">
        <f>IF(F131="SABADO",IF(FCAS!$D$62=2,0,0),IF(F131="DOMINGO",0,1))</f>
        <v>1</v>
      </c>
    </row>
    <row r="132" spans="1:7" x14ac:dyDescent="0.2">
      <c r="A132" s="14">
        <v>132</v>
      </c>
      <c r="D132" s="76">
        <v>41924</v>
      </c>
      <c r="E132" s="77" t="s">
        <v>846</v>
      </c>
      <c r="F132" s="74" t="str">
        <f>VLOOKUP(WEEKDAY(D132,1),TABLAS!$D$50:$E$56,2)</f>
        <v>DOMINGO</v>
      </c>
      <c r="G132" s="75">
        <f>IF(F132="SABADO",IF(FCAS!$D$62=2,0,0),IF(F132="DOMINGO",0,1))</f>
        <v>0</v>
      </c>
    </row>
    <row r="133" spans="1:7" x14ac:dyDescent="0.2">
      <c r="A133" s="14">
        <v>133</v>
      </c>
      <c r="D133" s="76">
        <v>41997</v>
      </c>
      <c r="E133" s="77" t="s">
        <v>847</v>
      </c>
      <c r="F133" s="74" t="str">
        <f>VLOOKUP(WEEKDAY(D133,1),TABLAS!$D$50:$E$56,2)</f>
        <v>MIERCOLES</v>
      </c>
      <c r="G133" s="75">
        <f>IF(F133="SABADO",IF(FCAS!$D$62=2,0,0),IF(F133="DOMINGO",0,1))</f>
        <v>1</v>
      </c>
    </row>
    <row r="134" spans="1:7" x14ac:dyDescent="0.2">
      <c r="A134" s="14">
        <v>134</v>
      </c>
      <c r="D134" s="76">
        <v>41998</v>
      </c>
      <c r="E134" s="77" t="s">
        <v>847</v>
      </c>
      <c r="F134" s="74" t="str">
        <f>VLOOKUP(WEEKDAY(D134,1),TABLAS!$D$50:$E$56,2)</f>
        <v>JUEVES</v>
      </c>
      <c r="G134" s="75">
        <f>IF(F134="SABADO",IF(FCAS!$D$62=2,0,0),IF(F134="DOMINGO",0,1))</f>
        <v>1</v>
      </c>
    </row>
    <row r="135" spans="1:7" x14ac:dyDescent="0.2">
      <c r="A135" s="14">
        <v>135</v>
      </c>
      <c r="D135" s="76">
        <v>42004</v>
      </c>
      <c r="E135" s="77" t="s">
        <v>847</v>
      </c>
      <c r="F135" s="74" t="str">
        <f>VLOOKUP(WEEKDAY(D135,1),TABLAS!$D$50:$E$56,2)</f>
        <v>MIERCOLES</v>
      </c>
      <c r="G135" s="75">
        <f>IF(F135="SABADO",IF(FCAS!$D$62=2,0,0),IF(F135="DOMINGO",0,1))</f>
        <v>1</v>
      </c>
    </row>
    <row r="136" spans="1:7" x14ac:dyDescent="0.2">
      <c r="A136" s="14">
        <v>136</v>
      </c>
      <c r="G136" s="80">
        <f>SUM(G121:G134)</f>
        <v>11</v>
      </c>
    </row>
    <row r="137" spans="1:7" x14ac:dyDescent="0.2">
      <c r="A137" s="14">
        <v>137</v>
      </c>
    </row>
    <row r="138" spans="1:7" x14ac:dyDescent="0.2">
      <c r="A138" s="14">
        <v>138</v>
      </c>
    </row>
    <row r="139" spans="1:7" x14ac:dyDescent="0.2">
      <c r="A139" s="14">
        <v>139</v>
      </c>
      <c r="D139" s="66"/>
      <c r="E139" s="81"/>
      <c r="F139" s="68"/>
      <c r="G139" s="68"/>
    </row>
    <row r="140" spans="1:7" x14ac:dyDescent="0.2">
      <c r="A140" s="14">
        <v>140</v>
      </c>
      <c r="D140" s="69" t="s">
        <v>384</v>
      </c>
      <c r="E140" s="82" t="s">
        <v>834</v>
      </c>
      <c r="F140" s="71" t="s">
        <v>835</v>
      </c>
      <c r="G140" s="71" t="s">
        <v>836</v>
      </c>
    </row>
    <row r="141" spans="1:7" x14ac:dyDescent="0.2">
      <c r="A141" s="14">
        <v>141</v>
      </c>
      <c r="D141" s="72">
        <v>42005</v>
      </c>
      <c r="E141" s="73" t="s">
        <v>837</v>
      </c>
      <c r="F141" s="74" t="str">
        <f>VLOOKUP(WEEKDAY(D141,1),TABLAS!$D$50:$E$56,2)</f>
        <v>JUEVES</v>
      </c>
      <c r="G141" s="75">
        <f>IF(F141="SABADO",IF(FCAS!$D$62=2,0,0),IF(F141="DOMINGO",0,1))</f>
        <v>1</v>
      </c>
    </row>
    <row r="142" spans="1:7" x14ac:dyDescent="0.2">
      <c r="A142" s="14">
        <v>142</v>
      </c>
      <c r="D142" s="72">
        <v>42051</v>
      </c>
      <c r="E142" s="73" t="s">
        <v>848</v>
      </c>
      <c r="F142" s="74" t="str">
        <f>VLOOKUP(WEEKDAY(D142,1),TABLAS!$D$50:$E$56,2)</f>
        <v>LUNES</v>
      </c>
      <c r="G142" s="75">
        <f>IF(F142="SABADO",IF(FCAS!$D$62=2,0,0),IF(F142="DOMINGO",0,1))</f>
        <v>1</v>
      </c>
    </row>
    <row r="143" spans="1:7" x14ac:dyDescent="0.2">
      <c r="A143" s="14">
        <v>143</v>
      </c>
      <c r="D143" s="72">
        <v>42052</v>
      </c>
      <c r="E143" s="73" t="s">
        <v>848</v>
      </c>
      <c r="F143" s="74" t="str">
        <f>VLOOKUP(WEEKDAY(D143,1),TABLAS!$D$50:$E$56,2)</f>
        <v>MARTES</v>
      </c>
      <c r="G143" s="75">
        <f>IF(F143="SABADO",IF(FCAS!$D$62=2,0,0),IF(F143="DOMINGO",0,1))</f>
        <v>1</v>
      </c>
    </row>
    <row r="144" spans="1:7" x14ac:dyDescent="0.2">
      <c r="A144" s="14">
        <v>144</v>
      </c>
      <c r="D144" s="76">
        <v>42096</v>
      </c>
      <c r="E144" s="77" t="s">
        <v>838</v>
      </c>
      <c r="F144" s="74" t="str">
        <f>VLOOKUP(WEEKDAY(D144,1),TABLAS!$D$50:$E$56,2)</f>
        <v>JUEVES</v>
      </c>
      <c r="G144" s="75">
        <f>IF(F144="SABADO",IF(FCAS!$D$62=2,0,0),IF(F144="DOMINGO",0,1))</f>
        <v>1</v>
      </c>
    </row>
    <row r="145" spans="1:7" x14ac:dyDescent="0.2">
      <c r="A145" s="14">
        <v>145</v>
      </c>
      <c r="D145" s="76">
        <v>42097</v>
      </c>
      <c r="E145" s="77" t="s">
        <v>839</v>
      </c>
      <c r="F145" s="74" t="str">
        <f>VLOOKUP(WEEKDAY(D145,1),TABLAS!$D$50:$E$56,2)</f>
        <v>VIERNES</v>
      </c>
      <c r="G145" s="75">
        <f>IF(F145="SABADO",IF(FCAS!$D$62=2,0,0),IF(F145="DOMINGO",0,1))</f>
        <v>1</v>
      </c>
    </row>
    <row r="146" spans="1:7" x14ac:dyDescent="0.2">
      <c r="A146" s="14">
        <v>146</v>
      </c>
      <c r="D146" s="76">
        <v>42113</v>
      </c>
      <c r="E146" s="77" t="s">
        <v>840</v>
      </c>
      <c r="F146" s="74" t="str">
        <f>VLOOKUP(WEEKDAY(D146,1),TABLAS!$D$50:$E$56,2)</f>
        <v>DOMINGO</v>
      </c>
      <c r="G146" s="75">
        <f>IF(F146="SABADO",IF(FCAS!$D$62=2,0,0),IF(F146="DOMINGO",0,1))</f>
        <v>0</v>
      </c>
    </row>
    <row r="147" spans="1:7" x14ac:dyDescent="0.2">
      <c r="A147" s="14">
        <v>147</v>
      </c>
      <c r="D147" s="76">
        <v>42089</v>
      </c>
      <c r="E147" s="77" t="s">
        <v>841</v>
      </c>
      <c r="F147" s="74" t="str">
        <f>VLOOKUP(WEEKDAY(D147,1),TABLAS!$D$50:$E$56,2)</f>
        <v>JUEVES</v>
      </c>
      <c r="G147" s="75">
        <f>IF(F147="SABADO",IF(FCAS!$D$62=2,0,0),IF(F147="DOMINGO",0,1))</f>
        <v>1</v>
      </c>
    </row>
    <row r="148" spans="1:7" x14ac:dyDescent="0.2">
      <c r="A148" s="14">
        <v>148</v>
      </c>
      <c r="D148" s="76">
        <v>42125</v>
      </c>
      <c r="E148" s="77" t="s">
        <v>842</v>
      </c>
      <c r="F148" s="74" t="str">
        <f>VLOOKUP(WEEKDAY(D148,1),TABLAS!$D$50:$E$56,2)</f>
        <v>VIERNES</v>
      </c>
      <c r="G148" s="75">
        <f>IF(F148="SABADO",IF(FCAS!$D$62=2,0,0),IF(F148="DOMINGO",0,1))</f>
        <v>1</v>
      </c>
    </row>
    <row r="149" spans="1:7" x14ac:dyDescent="0.2">
      <c r="A149" s="14">
        <v>149</v>
      </c>
      <c r="D149" s="76">
        <v>42179</v>
      </c>
      <c r="E149" s="77" t="s">
        <v>843</v>
      </c>
      <c r="F149" s="74" t="str">
        <f>VLOOKUP(WEEKDAY(D149,1),TABLAS!$D$50:$E$56,2)</f>
        <v>MIERCOLES</v>
      </c>
      <c r="G149" s="75">
        <f>IF(F149="SABADO",IF(FCAS!$D$62=2,0,0),IF(F149="DOMINGO",0,1))</f>
        <v>1</v>
      </c>
    </row>
    <row r="150" spans="1:7" x14ac:dyDescent="0.2">
      <c r="A150" s="14">
        <v>150</v>
      </c>
      <c r="D150" s="76">
        <v>42190</v>
      </c>
      <c r="E150" s="77" t="s">
        <v>844</v>
      </c>
      <c r="F150" s="74" t="str">
        <f>VLOOKUP(WEEKDAY(D150,1),TABLAS!$D$50:$E$56,2)</f>
        <v>DOMINGO</v>
      </c>
      <c r="G150" s="75">
        <f>IF(F150="SABADO",IF(FCAS!$D$62=2,0,0),IF(F150="DOMINGO",0,1))</f>
        <v>0</v>
      </c>
    </row>
    <row r="151" spans="1:7" x14ac:dyDescent="0.2">
      <c r="A151" s="14">
        <v>151</v>
      </c>
      <c r="D151" s="76">
        <v>42209</v>
      </c>
      <c r="E151" s="77" t="s">
        <v>845</v>
      </c>
      <c r="F151" s="74" t="str">
        <f>VLOOKUP(WEEKDAY(D151,1),TABLAS!$D$50:$E$56,2)</f>
        <v>VIERNES</v>
      </c>
      <c r="G151" s="75">
        <f>IF(F151="SABADO",IF(FCAS!$D$62=2,0,0),IF(F151="DOMINGO",0,1))</f>
        <v>1</v>
      </c>
    </row>
    <row r="152" spans="1:7" x14ac:dyDescent="0.2">
      <c r="A152" s="14">
        <v>152</v>
      </c>
      <c r="D152" s="76">
        <v>42289</v>
      </c>
      <c r="E152" s="77" t="s">
        <v>846</v>
      </c>
      <c r="F152" s="74" t="str">
        <f>VLOOKUP(WEEKDAY(D152,1),TABLAS!$D$50:$E$56,2)</f>
        <v>LUNES</v>
      </c>
      <c r="G152" s="75">
        <f>IF(F152="SABADO",IF(FCAS!$D$62=2,0,0),IF(F152="DOMINGO",0,1))</f>
        <v>1</v>
      </c>
    </row>
    <row r="153" spans="1:7" x14ac:dyDescent="0.2">
      <c r="A153" s="14">
        <v>153</v>
      </c>
      <c r="D153" s="76">
        <v>42362</v>
      </c>
      <c r="E153" s="77" t="s">
        <v>847</v>
      </c>
      <c r="F153" s="74" t="str">
        <f>VLOOKUP(WEEKDAY(D153,1),TABLAS!$D$50:$E$56,2)</f>
        <v>JUEVES</v>
      </c>
      <c r="G153" s="75">
        <f>IF(F153="SABADO",IF(FCAS!$D$62=2,0,0),IF(F153="DOMINGO",0,1))</f>
        <v>1</v>
      </c>
    </row>
    <row r="154" spans="1:7" x14ac:dyDescent="0.2">
      <c r="A154" s="14">
        <v>154</v>
      </c>
      <c r="D154" s="76">
        <v>42363</v>
      </c>
      <c r="E154" s="77" t="s">
        <v>847</v>
      </c>
      <c r="F154" s="74" t="str">
        <f>VLOOKUP(WEEKDAY(D154,1),TABLAS!$D$50:$E$56,2)</f>
        <v>VIERNES</v>
      </c>
      <c r="G154" s="75">
        <f>IF(F154="SABADO",IF(FCAS!$D$62=2,0,0),IF(F154="DOMINGO",0,1))</f>
        <v>1</v>
      </c>
    </row>
    <row r="155" spans="1:7" x14ac:dyDescent="0.2">
      <c r="A155" s="14">
        <v>155</v>
      </c>
      <c r="D155" s="76">
        <v>42369</v>
      </c>
      <c r="E155" s="77" t="s">
        <v>847</v>
      </c>
      <c r="F155" s="74" t="str">
        <f>VLOOKUP(WEEKDAY(D155,1),TABLAS!$D$50:$E$56,2)</f>
        <v>JUEVES</v>
      </c>
      <c r="G155" s="75">
        <f>IF(F155="SABADO",IF(FCAS!$D$62=2,0,0),IF(F155="DOMINGO",0,1))</f>
        <v>1</v>
      </c>
    </row>
    <row r="156" spans="1:7" x14ac:dyDescent="0.2">
      <c r="A156" s="14">
        <v>156</v>
      </c>
      <c r="G156" s="80">
        <f>SUM(G141:G154)</f>
        <v>12</v>
      </c>
    </row>
    <row r="157" spans="1:7" x14ac:dyDescent="0.2">
      <c r="A157" s="14">
        <v>157</v>
      </c>
    </row>
    <row r="158" spans="1:7" x14ac:dyDescent="0.2">
      <c r="A158" s="14">
        <v>158</v>
      </c>
    </row>
    <row r="159" spans="1:7" x14ac:dyDescent="0.2">
      <c r="A159" s="14">
        <v>159</v>
      </c>
      <c r="D159" s="66"/>
      <c r="E159" s="81"/>
      <c r="F159" s="68"/>
      <c r="G159" s="68"/>
    </row>
    <row r="160" spans="1:7" x14ac:dyDescent="0.2">
      <c r="A160" s="14">
        <v>160</v>
      </c>
      <c r="D160" s="69" t="s">
        <v>384</v>
      </c>
      <c r="E160" s="82" t="s">
        <v>834</v>
      </c>
      <c r="F160" s="71" t="s">
        <v>835</v>
      </c>
      <c r="G160" s="71" t="s">
        <v>836</v>
      </c>
    </row>
    <row r="161" spans="1:7" x14ac:dyDescent="0.2">
      <c r="A161" s="14">
        <v>161</v>
      </c>
      <c r="D161" s="72">
        <v>42370</v>
      </c>
      <c r="E161" s="73" t="s">
        <v>837</v>
      </c>
      <c r="F161" s="74" t="str">
        <f>VLOOKUP(WEEKDAY(D161,1),TABLAS!$D$50:$E$56,2)</f>
        <v>VIERNES</v>
      </c>
      <c r="G161" s="75">
        <f>IF(F161="SABADO",IF(FCAS!$D$62=2,0,0),IF(F161="DOMINGO",0,1))</f>
        <v>1</v>
      </c>
    </row>
    <row r="162" spans="1:7" x14ac:dyDescent="0.2">
      <c r="A162" s="14">
        <v>162</v>
      </c>
      <c r="D162" s="72">
        <v>42408</v>
      </c>
      <c r="E162" s="73" t="s">
        <v>848</v>
      </c>
      <c r="F162" s="74" t="str">
        <f>VLOOKUP(WEEKDAY(D162,1),TABLAS!$D$50:$E$56,2)</f>
        <v>LUNES</v>
      </c>
      <c r="G162" s="75">
        <f>IF(F162="SABADO",IF(FCAS!$D$62=2,0,0),IF(F162="DOMINGO",0,1))</f>
        <v>1</v>
      </c>
    </row>
    <row r="163" spans="1:7" x14ac:dyDescent="0.2">
      <c r="A163" s="14">
        <v>163</v>
      </c>
      <c r="D163" s="72">
        <v>42409</v>
      </c>
      <c r="E163" s="73" t="s">
        <v>848</v>
      </c>
      <c r="F163" s="74" t="str">
        <f>VLOOKUP(WEEKDAY(D163,1),TABLAS!$D$50:$E$56,2)</f>
        <v>MARTES</v>
      </c>
      <c r="G163" s="75">
        <f>IF(F163="SABADO",IF(FCAS!$D$62=2,0,0),IF(F163="DOMINGO",0,1))</f>
        <v>1</v>
      </c>
    </row>
    <row r="164" spans="1:7" x14ac:dyDescent="0.2">
      <c r="A164" s="14">
        <v>164</v>
      </c>
      <c r="D164" s="72">
        <v>42450</v>
      </c>
      <c r="E164" s="73" t="s">
        <v>849</v>
      </c>
      <c r="F164" s="74" t="str">
        <f>VLOOKUP(WEEKDAY(D164,1),TABLAS!$D$50:$E$56,2)</f>
        <v>LUNES</v>
      </c>
      <c r="G164" s="75">
        <f>IF(F164="SABADO",IF(FCAS!$D$62=2,0,0),IF(F164="DOMINGO",0,1))</f>
        <v>1</v>
      </c>
    </row>
    <row r="165" spans="1:7" x14ac:dyDescent="0.2">
      <c r="A165" s="14">
        <v>165</v>
      </c>
      <c r="D165" s="72">
        <v>42451</v>
      </c>
      <c r="E165" s="73" t="s">
        <v>850</v>
      </c>
      <c r="F165" s="74" t="str">
        <f>VLOOKUP(WEEKDAY(D165,1),TABLAS!$D$50:$E$56,2)</f>
        <v>MARTES</v>
      </c>
      <c r="G165" s="75">
        <f>IF(F165="SABADO",IF(FCAS!$D$62=2,0,0),IF(F165="DOMINGO",0,1))</f>
        <v>1</v>
      </c>
    </row>
    <row r="166" spans="1:7" x14ac:dyDescent="0.2">
      <c r="A166" s="14">
        <v>166</v>
      </c>
      <c r="D166" s="72">
        <v>42452</v>
      </c>
      <c r="E166" s="73" t="s">
        <v>851</v>
      </c>
      <c r="F166" s="74" t="str">
        <f>VLOOKUP(WEEKDAY(D166,1),TABLAS!$D$50:$E$56,2)</f>
        <v>MIERCOLES</v>
      </c>
      <c r="G166" s="75">
        <f>IF(F166="SABADO",IF(FCAS!$D$62=2,0,0),IF(F166="DOMINGO",0,1))</f>
        <v>1</v>
      </c>
    </row>
    <row r="167" spans="1:7" x14ac:dyDescent="0.2">
      <c r="A167" s="14">
        <v>167</v>
      </c>
      <c r="D167" s="76">
        <v>42453</v>
      </c>
      <c r="E167" s="77" t="s">
        <v>838</v>
      </c>
      <c r="F167" s="74" t="str">
        <f>VLOOKUP(WEEKDAY(D167,1),TABLAS!$D$50:$E$56,2)</f>
        <v>JUEVES</v>
      </c>
      <c r="G167" s="75">
        <f>IF(F167="SABADO",IF(FCAS!$D$62=2,0,0),IF(F167="DOMINGO",0,1))</f>
        <v>1</v>
      </c>
    </row>
    <row r="168" spans="1:7" x14ac:dyDescent="0.2">
      <c r="A168" s="14">
        <v>168</v>
      </c>
      <c r="D168" s="76">
        <v>42454</v>
      </c>
      <c r="E168" s="77" t="s">
        <v>839</v>
      </c>
      <c r="F168" s="74" t="str">
        <f>VLOOKUP(WEEKDAY(D168,1),TABLAS!$D$50:$E$56,2)</f>
        <v>VIERNES</v>
      </c>
      <c r="G168" s="75">
        <f>IF(F168="SABADO",IF(FCAS!$D$62=2,0,0),IF(F168="DOMINGO",0,1))</f>
        <v>1</v>
      </c>
    </row>
    <row r="169" spans="1:7" x14ac:dyDescent="0.2">
      <c r="A169" s="14">
        <v>169</v>
      </c>
      <c r="D169" s="76">
        <v>42479</v>
      </c>
      <c r="E169" s="77" t="s">
        <v>840</v>
      </c>
      <c r="F169" s="74" t="str">
        <f>VLOOKUP(WEEKDAY(D169,1),TABLAS!$D$50:$E$56,2)</f>
        <v>MARTES</v>
      </c>
      <c r="G169" s="75">
        <f>IF(F169="SABADO",IF(FCAS!$D$62=2,0,0),IF(F169="DOMINGO",0,1))</f>
        <v>1</v>
      </c>
    </row>
    <row r="170" spans="1:7" x14ac:dyDescent="0.2">
      <c r="A170" s="14">
        <v>170</v>
      </c>
      <c r="D170" s="76">
        <v>42455</v>
      </c>
      <c r="E170" s="77" t="s">
        <v>841</v>
      </c>
      <c r="F170" s="74" t="str">
        <f>VLOOKUP(WEEKDAY(D170,1),TABLAS!$D$50:$E$56,2)</f>
        <v>SABADO</v>
      </c>
      <c r="G170" s="75">
        <f>IF(F170="SABADO",IF(FCAS!$D$62=2,0,0),IF(F170="DOMINGO",0,1))</f>
        <v>0</v>
      </c>
    </row>
    <row r="171" spans="1:7" x14ac:dyDescent="0.2">
      <c r="A171" s="14">
        <v>171</v>
      </c>
      <c r="D171" s="76">
        <v>42491</v>
      </c>
      <c r="E171" s="77" t="s">
        <v>842</v>
      </c>
      <c r="F171" s="74" t="str">
        <f>VLOOKUP(WEEKDAY(D171,1),TABLAS!$D$50:$E$56,2)</f>
        <v>DOMINGO</v>
      </c>
      <c r="G171" s="75">
        <f>IF(F171="SABADO",IF(FCAS!$D$62=2,0,0),IF(F171="DOMINGO",0,1))</f>
        <v>0</v>
      </c>
    </row>
    <row r="172" spans="1:7" x14ac:dyDescent="0.2">
      <c r="A172" s="14">
        <v>172</v>
      </c>
      <c r="D172" s="76">
        <v>42545</v>
      </c>
      <c r="E172" s="77" t="s">
        <v>843</v>
      </c>
      <c r="F172" s="74" t="str">
        <f>VLOOKUP(WEEKDAY(D172,1),TABLAS!$D$50:$E$56,2)</f>
        <v>VIERNES</v>
      </c>
      <c r="G172" s="75">
        <f>IF(F172="SABADO",IF(FCAS!$D$62=2,0,0),IF(F172="DOMINGO",0,1))</f>
        <v>1</v>
      </c>
    </row>
    <row r="173" spans="1:7" x14ac:dyDescent="0.2">
      <c r="A173" s="14">
        <v>173</v>
      </c>
      <c r="D173" s="76">
        <v>42556</v>
      </c>
      <c r="E173" s="77" t="s">
        <v>844</v>
      </c>
      <c r="F173" s="74" t="str">
        <f>VLOOKUP(WEEKDAY(D173,1),TABLAS!$D$50:$E$56,2)</f>
        <v>MARTES</v>
      </c>
      <c r="G173" s="75">
        <f>IF(F173="SABADO",IF(FCAS!$D$62=2,0,0),IF(F173="DOMINGO",0,1))</f>
        <v>1</v>
      </c>
    </row>
    <row r="174" spans="1:7" x14ac:dyDescent="0.2">
      <c r="A174" s="14">
        <v>174</v>
      </c>
      <c r="D174" s="76">
        <v>42575</v>
      </c>
      <c r="E174" s="77" t="s">
        <v>845</v>
      </c>
      <c r="F174" s="74" t="str">
        <f>VLOOKUP(WEEKDAY(D174,1),TABLAS!$D$50:$E$56,2)</f>
        <v>DOMINGO</v>
      </c>
      <c r="G174" s="75">
        <f>IF(F174="SABADO",IF(FCAS!$D$62=2,0,0),IF(F174="DOMINGO",0,1))</f>
        <v>0</v>
      </c>
    </row>
    <row r="175" spans="1:7" x14ac:dyDescent="0.2">
      <c r="A175" s="14">
        <v>175</v>
      </c>
      <c r="D175" s="76">
        <v>42655</v>
      </c>
      <c r="E175" s="77" t="s">
        <v>846</v>
      </c>
      <c r="F175" s="74" t="str">
        <f>VLOOKUP(WEEKDAY(D175,1),TABLAS!$D$50:$E$56,2)</f>
        <v>MIERCOLES</v>
      </c>
      <c r="G175" s="75">
        <f>IF(F175="SABADO",IF(FCAS!$D$62=2,0,0),IF(F175="DOMINGO",0,1))</f>
        <v>1</v>
      </c>
    </row>
    <row r="176" spans="1:7" x14ac:dyDescent="0.2">
      <c r="A176" s="14">
        <v>176</v>
      </c>
      <c r="D176" s="76">
        <v>42728</v>
      </c>
      <c r="E176" s="77" t="s">
        <v>847</v>
      </c>
      <c r="F176" s="74" t="str">
        <f>VLOOKUP(WEEKDAY(D176,1),TABLAS!$D$50:$E$56,2)</f>
        <v>SABADO</v>
      </c>
      <c r="G176" s="75">
        <f>IF(F176="SABADO",IF(FCAS!$D$62=2,0,0),IF(F176="DOMINGO",0,1))</f>
        <v>0</v>
      </c>
    </row>
    <row r="177" spans="1:7" x14ac:dyDescent="0.2">
      <c r="A177" s="14">
        <v>177</v>
      </c>
      <c r="D177" s="76">
        <v>42729</v>
      </c>
      <c r="E177" s="77" t="s">
        <v>847</v>
      </c>
      <c r="F177" s="74" t="str">
        <f>VLOOKUP(WEEKDAY(D177,1),TABLAS!$D$50:$E$56,2)</f>
        <v>DOMINGO</v>
      </c>
      <c r="G177" s="75">
        <f>IF(F177="SABADO",IF(FCAS!$D$62=2,0,0),IF(F177="DOMINGO",0,1))</f>
        <v>0</v>
      </c>
    </row>
    <row r="178" spans="1:7" x14ac:dyDescent="0.2">
      <c r="A178" s="14">
        <v>178</v>
      </c>
      <c r="D178" s="76">
        <v>42735</v>
      </c>
      <c r="E178" s="77" t="s">
        <v>847</v>
      </c>
      <c r="F178" s="74" t="str">
        <f>VLOOKUP(WEEKDAY(D178,1),TABLAS!$D$50:$E$56,2)</f>
        <v>SABADO</v>
      </c>
      <c r="G178" s="75">
        <f>IF(F178="SABADO",IF(FCAS!$D$62=2,0,0),IF(F178="DOMINGO",0,1))</f>
        <v>0</v>
      </c>
    </row>
    <row r="179" spans="1:7" x14ac:dyDescent="0.2">
      <c r="A179" s="14">
        <v>179</v>
      </c>
      <c r="G179" s="80">
        <f>SUM(G161:G177)</f>
        <v>12</v>
      </c>
    </row>
    <row r="180" spans="1:7" x14ac:dyDescent="0.2">
      <c r="A180" s="14">
        <v>180</v>
      </c>
    </row>
    <row r="181" spans="1:7" x14ac:dyDescent="0.2">
      <c r="A181" s="14">
        <v>181</v>
      </c>
    </row>
    <row r="182" spans="1:7" x14ac:dyDescent="0.2">
      <c r="A182" s="14">
        <v>182</v>
      </c>
      <c r="D182" s="66"/>
      <c r="E182" s="81"/>
      <c r="F182" s="68"/>
      <c r="G182" s="68"/>
    </row>
    <row r="183" spans="1:7" x14ac:dyDescent="0.2">
      <c r="A183" s="14">
        <v>183</v>
      </c>
      <c r="D183" s="69" t="s">
        <v>384</v>
      </c>
      <c r="E183" s="82" t="s">
        <v>834</v>
      </c>
      <c r="F183" s="71" t="s">
        <v>835</v>
      </c>
      <c r="G183" s="71" t="s">
        <v>836</v>
      </c>
    </row>
    <row r="184" spans="1:7" x14ac:dyDescent="0.2">
      <c r="A184" s="14">
        <v>184</v>
      </c>
      <c r="D184" s="72">
        <v>42736</v>
      </c>
      <c r="E184" s="73" t="s">
        <v>837</v>
      </c>
      <c r="F184" s="74" t="str">
        <f>VLOOKUP(WEEKDAY(D184,1),TABLAS!$D$50:$E$56,2)</f>
        <v>DOMINGO</v>
      </c>
      <c r="G184" s="75">
        <f>IF(F184="SABADO",IF(FCAS!$D$62=2,0,0),IF(F184="DOMINGO",0,1))</f>
        <v>0</v>
      </c>
    </row>
    <row r="185" spans="1:7" x14ac:dyDescent="0.2">
      <c r="A185" s="14">
        <v>185</v>
      </c>
      <c r="D185" s="72">
        <v>42793</v>
      </c>
      <c r="E185" s="73" t="s">
        <v>848</v>
      </c>
      <c r="F185" s="74" t="str">
        <f>VLOOKUP(WEEKDAY(D185,1),TABLAS!$D$50:$E$56,2)</f>
        <v>LUNES</v>
      </c>
      <c r="G185" s="75">
        <f>IF(F185="SABADO",IF(FCAS!$D$62=2,0,0),IF(F185="DOMINGO",0,1))</f>
        <v>1</v>
      </c>
    </row>
    <row r="186" spans="1:7" x14ac:dyDescent="0.2">
      <c r="A186" s="14">
        <v>186</v>
      </c>
      <c r="D186" s="72">
        <v>42794</v>
      </c>
      <c r="E186" s="73" t="s">
        <v>848</v>
      </c>
      <c r="F186" s="74" t="str">
        <f>VLOOKUP(WEEKDAY(D186,1),TABLAS!$D$50:$E$56,2)</f>
        <v>MARTES</v>
      </c>
      <c r="G186" s="75">
        <f>IF(F186="SABADO",IF(FCAS!$D$62=2,0,0),IF(F186="DOMINGO",0,1))</f>
        <v>1</v>
      </c>
    </row>
    <row r="187" spans="1:7" x14ac:dyDescent="0.2">
      <c r="A187" s="14">
        <v>187</v>
      </c>
      <c r="D187" s="76">
        <v>42838</v>
      </c>
      <c r="E187" s="77" t="s">
        <v>838</v>
      </c>
      <c r="F187" s="74" t="str">
        <f>VLOOKUP(WEEKDAY(D187,1),TABLAS!$D$50:$E$56,2)</f>
        <v>JUEVES</v>
      </c>
      <c r="G187" s="75">
        <f>IF(F187="SABADO",IF(FCAS!$D$62=2,0,0),IF(F187="DOMINGO",0,1))</f>
        <v>1</v>
      </c>
    </row>
    <row r="188" spans="1:7" x14ac:dyDescent="0.2">
      <c r="A188" s="14">
        <v>188</v>
      </c>
      <c r="D188" s="76">
        <v>42839</v>
      </c>
      <c r="E188" s="77" t="s">
        <v>839</v>
      </c>
      <c r="F188" s="74" t="str">
        <f>VLOOKUP(WEEKDAY(D188,1),TABLAS!$D$50:$E$56,2)</f>
        <v>VIERNES</v>
      </c>
      <c r="G188" s="75">
        <f>IF(F188="SABADO",IF(FCAS!$D$62=2,0,0),IF(F188="DOMINGO",0,1))</f>
        <v>1</v>
      </c>
    </row>
    <row r="189" spans="1:7" x14ac:dyDescent="0.2">
      <c r="A189" s="14">
        <v>189</v>
      </c>
      <c r="D189" s="76">
        <v>42844</v>
      </c>
      <c r="E189" s="77" t="s">
        <v>840</v>
      </c>
      <c r="F189" s="74" t="str">
        <f>VLOOKUP(WEEKDAY(D189,1),TABLAS!$D$50:$E$56,2)</f>
        <v>MIERCOLES</v>
      </c>
      <c r="G189" s="75">
        <f>IF(F189="SABADO",IF(FCAS!$D$62=2,0,0),IF(F189="DOMINGO",0,1))</f>
        <v>1</v>
      </c>
    </row>
    <row r="190" spans="1:7" x14ac:dyDescent="0.2">
      <c r="A190" s="14">
        <v>190</v>
      </c>
      <c r="D190" s="76">
        <v>42820</v>
      </c>
      <c r="E190" s="77" t="s">
        <v>841</v>
      </c>
      <c r="F190" s="74" t="str">
        <f>VLOOKUP(WEEKDAY(D190,1),TABLAS!$D$50:$E$56,2)</f>
        <v>DOMINGO</v>
      </c>
      <c r="G190" s="75">
        <f>IF(F190="SABADO",IF(FCAS!$D$62=2,0,0),IF(F190="DOMINGO",0,1))</f>
        <v>0</v>
      </c>
    </row>
    <row r="191" spans="1:7" x14ac:dyDescent="0.2">
      <c r="A191" s="14">
        <v>191</v>
      </c>
      <c r="D191" s="76">
        <v>42856</v>
      </c>
      <c r="E191" s="77" t="s">
        <v>842</v>
      </c>
      <c r="F191" s="74" t="str">
        <f>VLOOKUP(WEEKDAY(D191,1),TABLAS!$D$50:$E$56,2)</f>
        <v>LUNES</v>
      </c>
      <c r="G191" s="75">
        <f>IF(F191="SABADO",IF(FCAS!$D$62=2,0,0),IF(F191="DOMINGO",0,1))</f>
        <v>1</v>
      </c>
    </row>
    <row r="192" spans="1:7" x14ac:dyDescent="0.2">
      <c r="A192" s="14">
        <v>192</v>
      </c>
      <c r="D192" s="76">
        <v>42910</v>
      </c>
      <c r="E192" s="77" t="s">
        <v>843</v>
      </c>
      <c r="F192" s="74" t="str">
        <f>VLOOKUP(WEEKDAY(D192,1),TABLAS!$D$50:$E$56,2)</f>
        <v>SABADO</v>
      </c>
      <c r="G192" s="75">
        <f>IF(F192="SABADO",IF(FCAS!$D$62=2,0,0),IF(F192="DOMINGO",0,1))</f>
        <v>0</v>
      </c>
    </row>
    <row r="193" spans="1:7" x14ac:dyDescent="0.2">
      <c r="A193" s="14">
        <v>193</v>
      </c>
      <c r="D193" s="76">
        <v>42921</v>
      </c>
      <c r="E193" s="77" t="s">
        <v>844</v>
      </c>
      <c r="F193" s="74" t="str">
        <f>VLOOKUP(WEEKDAY(D193,1),TABLAS!$D$50:$E$56,2)</f>
        <v>MIERCOLES</v>
      </c>
      <c r="G193" s="75">
        <f>IF(F193="SABADO",IF(FCAS!$D$62=2,0,0),IF(F193="DOMINGO",0,1))</f>
        <v>1</v>
      </c>
    </row>
    <row r="194" spans="1:7" x14ac:dyDescent="0.2">
      <c r="A194" s="14">
        <v>194</v>
      </c>
      <c r="D194" s="76">
        <v>42940</v>
      </c>
      <c r="E194" s="77" t="s">
        <v>845</v>
      </c>
      <c r="F194" s="74" t="str">
        <f>VLOOKUP(WEEKDAY(D194,1),TABLAS!$D$50:$E$56,2)</f>
        <v>LUNES</v>
      </c>
      <c r="G194" s="75">
        <f>IF(F194="SABADO",IF(FCAS!$D$62=2,0,0),IF(F194="DOMINGO",0,1))</f>
        <v>1</v>
      </c>
    </row>
    <row r="195" spans="1:7" x14ac:dyDescent="0.2">
      <c r="A195" s="14">
        <v>195</v>
      </c>
      <c r="D195" s="76">
        <v>43020</v>
      </c>
      <c r="E195" s="77" t="s">
        <v>846</v>
      </c>
      <c r="F195" s="74" t="str">
        <f>VLOOKUP(WEEKDAY(D195,1),TABLAS!$D$50:$E$56,2)</f>
        <v>JUEVES</v>
      </c>
      <c r="G195" s="75">
        <f>IF(F195="SABADO",IF(FCAS!$D$62=2,0,0),IF(F195="DOMINGO",0,1))</f>
        <v>1</v>
      </c>
    </row>
    <row r="196" spans="1:7" x14ac:dyDescent="0.2">
      <c r="A196" s="14">
        <v>196</v>
      </c>
      <c r="D196" s="76">
        <v>43093</v>
      </c>
      <c r="E196" s="77" t="s">
        <v>847</v>
      </c>
      <c r="F196" s="74" t="str">
        <f>VLOOKUP(WEEKDAY(D196,1),TABLAS!$D$50:$E$56,2)</f>
        <v>DOMINGO</v>
      </c>
      <c r="G196" s="75">
        <f>IF(F196="SABADO",IF(FCAS!$D$62=2,0,0),IF(F196="DOMINGO",0,1))</f>
        <v>0</v>
      </c>
    </row>
    <row r="197" spans="1:7" x14ac:dyDescent="0.2">
      <c r="A197" s="14">
        <v>197</v>
      </c>
      <c r="D197" s="76">
        <v>43094</v>
      </c>
      <c r="E197" s="77" t="s">
        <v>847</v>
      </c>
      <c r="F197" s="74" t="str">
        <f>VLOOKUP(WEEKDAY(D197,1),TABLAS!$D$50:$E$56,2)</f>
        <v>LUNES</v>
      </c>
      <c r="G197" s="75">
        <f>IF(F197="SABADO",IF(FCAS!$D$62=2,0,0),IF(F197="DOMINGO",0,1))</f>
        <v>1</v>
      </c>
    </row>
    <row r="198" spans="1:7" x14ac:dyDescent="0.2">
      <c r="A198" s="14">
        <v>198</v>
      </c>
      <c r="D198" s="76">
        <v>43100</v>
      </c>
      <c r="E198" s="77" t="s">
        <v>847</v>
      </c>
      <c r="F198" s="74" t="str">
        <f>VLOOKUP(WEEKDAY(D198,1),TABLAS!$D$50:$E$56,2)</f>
        <v>DOMINGO</v>
      </c>
      <c r="G198" s="75">
        <f>IF(F198="SABADO",IF(FCAS!$D$62=2,0,0),IF(F198="DOMINGO",0,1))</f>
        <v>0</v>
      </c>
    </row>
    <row r="199" spans="1:7" x14ac:dyDescent="0.2">
      <c r="A199" s="14">
        <v>199</v>
      </c>
      <c r="G199" s="80">
        <f>SUM(G184:G197)</f>
        <v>10</v>
      </c>
    </row>
    <row r="200" spans="1:7" x14ac:dyDescent="0.2">
      <c r="A200" s="14">
        <v>200</v>
      </c>
    </row>
    <row r="201" spans="1:7" x14ac:dyDescent="0.2">
      <c r="A201" s="14">
        <v>201</v>
      </c>
    </row>
    <row r="202" spans="1:7" x14ac:dyDescent="0.2">
      <c r="A202" s="14">
        <v>202</v>
      </c>
      <c r="D202" s="66"/>
      <c r="E202" s="81"/>
      <c r="F202" s="68"/>
      <c r="G202" s="68"/>
    </row>
    <row r="203" spans="1:7" x14ac:dyDescent="0.2">
      <c r="A203" s="14">
        <v>203</v>
      </c>
      <c r="D203" s="69" t="s">
        <v>384</v>
      </c>
      <c r="E203" s="82" t="s">
        <v>834</v>
      </c>
      <c r="F203" s="71" t="s">
        <v>835</v>
      </c>
      <c r="G203" s="71" t="s">
        <v>836</v>
      </c>
    </row>
    <row r="204" spans="1:7" x14ac:dyDescent="0.2">
      <c r="A204" s="14">
        <v>204</v>
      </c>
      <c r="D204" s="72">
        <v>43101</v>
      </c>
      <c r="E204" s="73" t="s">
        <v>837</v>
      </c>
      <c r="F204" s="74" t="str">
        <f>VLOOKUP(WEEKDAY(D204,1),TABLAS!$D$50:$E$56,2)</f>
        <v>LUNES</v>
      </c>
      <c r="G204" s="75">
        <f>IF(F204="SABADO",IF(FCAS!$D$62=2,0,0),IF(F204="DOMINGO",0,1))</f>
        <v>1</v>
      </c>
    </row>
    <row r="205" spans="1:7" x14ac:dyDescent="0.2">
      <c r="A205" s="14">
        <v>205</v>
      </c>
      <c r="D205" s="72">
        <v>43143</v>
      </c>
      <c r="E205" s="73" t="s">
        <v>848</v>
      </c>
      <c r="F205" s="74" t="str">
        <f>VLOOKUP(WEEKDAY(D205,1),TABLAS!$D$50:$E$56,2)</f>
        <v>LUNES</v>
      </c>
      <c r="G205" s="75">
        <f>IF(F205="SABADO",IF(FCAS!$D$62=2,0,0),IF(F205="DOMINGO",0,1))</f>
        <v>1</v>
      </c>
    </row>
    <row r="206" spans="1:7" x14ac:dyDescent="0.2">
      <c r="A206" s="14">
        <v>206</v>
      </c>
      <c r="D206" s="72">
        <v>43144</v>
      </c>
      <c r="E206" s="73" t="s">
        <v>848</v>
      </c>
      <c r="F206" s="74" t="str">
        <f>VLOOKUP(WEEKDAY(D206,1),TABLAS!$D$50:$E$56,2)</f>
        <v>MARTES</v>
      </c>
      <c r="G206" s="75">
        <f>IF(F206="SABADO",IF(FCAS!$D$62=2,0,0),IF(F206="DOMINGO",0,1))</f>
        <v>1</v>
      </c>
    </row>
    <row r="207" spans="1:7" x14ac:dyDescent="0.2">
      <c r="A207" s="14">
        <v>207</v>
      </c>
      <c r="D207" s="76">
        <v>43188</v>
      </c>
      <c r="E207" s="77" t="s">
        <v>838</v>
      </c>
      <c r="F207" s="74" t="str">
        <f>VLOOKUP(WEEKDAY(D207,1),TABLAS!$D$50:$E$56,2)</f>
        <v>JUEVES</v>
      </c>
      <c r="G207" s="75">
        <f>IF(F207="SABADO",IF(FCAS!$D$62=2,0,0),IF(F207="DOMINGO",0,1))</f>
        <v>1</v>
      </c>
    </row>
    <row r="208" spans="1:7" x14ac:dyDescent="0.2">
      <c r="A208" s="14">
        <v>208</v>
      </c>
      <c r="D208" s="76">
        <v>43189</v>
      </c>
      <c r="E208" s="77" t="s">
        <v>839</v>
      </c>
      <c r="F208" s="74" t="str">
        <f>VLOOKUP(WEEKDAY(D208,1),TABLAS!$D$50:$E$56,2)</f>
        <v>VIERNES</v>
      </c>
      <c r="G208" s="75">
        <f>IF(F208="SABADO",IF(FCAS!$D$62=2,0,0),IF(F208="DOMINGO",0,1))</f>
        <v>1</v>
      </c>
    </row>
    <row r="209" spans="1:7" x14ac:dyDescent="0.2">
      <c r="A209" s="14">
        <v>209</v>
      </c>
      <c r="D209" s="76">
        <v>43209</v>
      </c>
      <c r="E209" s="77" t="s">
        <v>840</v>
      </c>
      <c r="F209" s="74" t="str">
        <f>VLOOKUP(WEEKDAY(D209,1),TABLAS!$D$50:$E$56,2)</f>
        <v>JUEVES</v>
      </c>
      <c r="G209" s="75">
        <f>IF(F209="SABADO",IF(FCAS!$D$62=2,0,0),IF(F209="DOMINGO",0,1))</f>
        <v>1</v>
      </c>
    </row>
    <row r="210" spans="1:7" x14ac:dyDescent="0.2">
      <c r="A210" s="14">
        <v>210</v>
      </c>
      <c r="D210" s="76">
        <v>43185</v>
      </c>
      <c r="E210" s="77" t="s">
        <v>841</v>
      </c>
      <c r="F210" s="74" t="str">
        <f>VLOOKUP(WEEKDAY(D210,1),TABLAS!$D$50:$E$56,2)</f>
        <v>LUNES</v>
      </c>
      <c r="G210" s="75">
        <f>IF(F210="SABADO",IF(FCAS!$D$62=2,0,0),IF(F210="DOMINGO",0,1))</f>
        <v>1</v>
      </c>
    </row>
    <row r="211" spans="1:7" x14ac:dyDescent="0.2">
      <c r="A211" s="14">
        <v>211</v>
      </c>
      <c r="D211" s="76">
        <v>43221</v>
      </c>
      <c r="E211" s="77" t="s">
        <v>842</v>
      </c>
      <c r="F211" s="74" t="str">
        <f>VLOOKUP(WEEKDAY(D211,1),TABLAS!$D$50:$E$56,2)</f>
        <v>MARTES</v>
      </c>
      <c r="G211" s="75">
        <f>IF(F211="SABADO",IF(FCAS!$D$62=2,0,0),IF(F211="DOMINGO",0,1))</f>
        <v>1</v>
      </c>
    </row>
    <row r="212" spans="1:7" x14ac:dyDescent="0.2">
      <c r="A212" s="14">
        <v>212</v>
      </c>
      <c r="D212" s="76">
        <v>43275</v>
      </c>
      <c r="E212" s="77" t="s">
        <v>843</v>
      </c>
      <c r="F212" s="74" t="str">
        <f>VLOOKUP(WEEKDAY(D212,1),TABLAS!$D$50:$E$56,2)</f>
        <v>DOMINGO</v>
      </c>
      <c r="G212" s="75">
        <f>IF(F212="SABADO",IF(FCAS!$D$62=2,0,0),IF(F212="DOMINGO",0,1))</f>
        <v>0</v>
      </c>
    </row>
    <row r="213" spans="1:7" x14ac:dyDescent="0.2">
      <c r="A213" s="14">
        <v>213</v>
      </c>
      <c r="D213" s="76">
        <v>43286</v>
      </c>
      <c r="E213" s="77" t="s">
        <v>844</v>
      </c>
      <c r="F213" s="74" t="str">
        <f>VLOOKUP(WEEKDAY(D213,1),TABLAS!$D$50:$E$56,2)</f>
        <v>JUEVES</v>
      </c>
      <c r="G213" s="75">
        <f>IF(F213="SABADO",IF(FCAS!$D$62=2,0,0),IF(F213="DOMINGO",0,1))</f>
        <v>1</v>
      </c>
    </row>
    <row r="214" spans="1:7" x14ac:dyDescent="0.2">
      <c r="A214" s="14">
        <v>214</v>
      </c>
      <c r="D214" s="76">
        <v>43305</v>
      </c>
      <c r="E214" s="77" t="s">
        <v>845</v>
      </c>
      <c r="F214" s="74" t="str">
        <f>VLOOKUP(WEEKDAY(D214,1),TABLAS!$D$50:$E$56,2)</f>
        <v>MARTES</v>
      </c>
      <c r="G214" s="75">
        <f>IF(F214="SABADO",IF(FCAS!$D$62=2,0,0),IF(F214="DOMINGO",0,1))</f>
        <v>1</v>
      </c>
    </row>
    <row r="215" spans="1:7" x14ac:dyDescent="0.2">
      <c r="A215" s="14">
        <v>215</v>
      </c>
      <c r="D215" s="76">
        <v>43385</v>
      </c>
      <c r="E215" s="77" t="s">
        <v>846</v>
      </c>
      <c r="F215" s="74" t="str">
        <f>VLOOKUP(WEEKDAY(D215,1),TABLAS!$D$50:$E$56,2)</f>
        <v>VIERNES</v>
      </c>
      <c r="G215" s="75">
        <f>IF(F215="SABADO",IF(FCAS!$D$62=2,0,0),IF(F215="DOMINGO",0,1))</f>
        <v>1</v>
      </c>
    </row>
    <row r="216" spans="1:7" x14ac:dyDescent="0.2">
      <c r="A216" s="14">
        <v>216</v>
      </c>
      <c r="D216" s="76">
        <v>43458</v>
      </c>
      <c r="E216" s="77" t="s">
        <v>847</v>
      </c>
      <c r="F216" s="74" t="str">
        <f>VLOOKUP(WEEKDAY(D216,1),TABLAS!$D$50:$E$56,2)</f>
        <v>LUNES</v>
      </c>
      <c r="G216" s="75">
        <f>IF(F216="SABADO",IF(FCAS!$D$62=2,0,0),IF(F216="DOMINGO",0,1))</f>
        <v>1</v>
      </c>
    </row>
    <row r="217" spans="1:7" x14ac:dyDescent="0.2">
      <c r="A217" s="14">
        <v>217</v>
      </c>
      <c r="D217" s="76">
        <v>43459</v>
      </c>
      <c r="E217" s="77" t="s">
        <v>847</v>
      </c>
      <c r="F217" s="74" t="str">
        <f>VLOOKUP(WEEKDAY(D217,1),TABLAS!$D$50:$E$56,2)</f>
        <v>MARTES</v>
      </c>
      <c r="G217" s="75">
        <f>IF(F217="SABADO",IF(FCAS!$D$62=2,0,0),IF(F217="DOMINGO",0,1))</f>
        <v>1</v>
      </c>
    </row>
    <row r="218" spans="1:7" x14ac:dyDescent="0.2">
      <c r="A218" s="14">
        <v>218</v>
      </c>
      <c r="D218" s="76">
        <v>43465</v>
      </c>
      <c r="E218" s="77" t="s">
        <v>847</v>
      </c>
      <c r="F218" s="74" t="str">
        <f>VLOOKUP(WEEKDAY(D218,1),TABLAS!$D$50:$E$56,2)</f>
        <v>LUNES</v>
      </c>
      <c r="G218" s="75">
        <f>IF(F218="SABADO",IF(FCAS!$D$62=2,0,0),IF(F218="DOMINGO",0,1))</f>
        <v>1</v>
      </c>
    </row>
    <row r="219" spans="1:7" x14ac:dyDescent="0.2">
      <c r="A219" s="14">
        <v>219</v>
      </c>
      <c r="G219" s="80">
        <f>SUM(G204:G217)</f>
        <v>13</v>
      </c>
    </row>
    <row r="220" spans="1:7" x14ac:dyDescent="0.2">
      <c r="A220" s="14">
        <v>220</v>
      </c>
    </row>
    <row r="221" spans="1:7" x14ac:dyDescent="0.2">
      <c r="A221" s="14">
        <v>221</v>
      </c>
    </row>
    <row r="222" spans="1:7" x14ac:dyDescent="0.2">
      <c r="A222" s="14">
        <v>222</v>
      </c>
      <c r="D222" s="66"/>
      <c r="E222" s="81"/>
      <c r="F222" s="68"/>
      <c r="G222" s="68"/>
    </row>
    <row r="223" spans="1:7" x14ac:dyDescent="0.2">
      <c r="A223" s="14">
        <v>223</v>
      </c>
      <c r="D223" s="69" t="s">
        <v>384</v>
      </c>
      <c r="E223" s="82" t="s">
        <v>834</v>
      </c>
      <c r="F223" s="71" t="s">
        <v>835</v>
      </c>
      <c r="G223" s="71" t="s">
        <v>836</v>
      </c>
    </row>
    <row r="224" spans="1:7" x14ac:dyDescent="0.2">
      <c r="A224" s="14">
        <v>224</v>
      </c>
      <c r="D224" s="72">
        <v>43466</v>
      </c>
      <c r="E224" s="73" t="s">
        <v>837</v>
      </c>
      <c r="F224" s="74" t="str">
        <f>VLOOKUP(WEEKDAY(D224,1),TABLAS!$D$50:$E$56,2)</f>
        <v>MARTES</v>
      </c>
      <c r="G224" s="75">
        <f>IF(F224="SABADO",IF(FCAS!$D$62=2,0,0),IF(F224="DOMINGO",0,1))</f>
        <v>1</v>
      </c>
    </row>
    <row r="225" spans="1:7" x14ac:dyDescent="0.2">
      <c r="A225" s="14">
        <v>225</v>
      </c>
      <c r="D225" s="72">
        <v>43528</v>
      </c>
      <c r="E225" s="73" t="s">
        <v>848</v>
      </c>
      <c r="F225" s="74" t="str">
        <f>VLOOKUP(WEEKDAY(D225,1),TABLAS!$D$50:$E$56,2)</f>
        <v>LUNES</v>
      </c>
      <c r="G225" s="75">
        <f>IF(F225="SABADO",IF(FCAS!$D$62=2,0,0),IF(F225="DOMINGO",0,1))</f>
        <v>1</v>
      </c>
    </row>
    <row r="226" spans="1:7" x14ac:dyDescent="0.2">
      <c r="A226" s="14">
        <v>226</v>
      </c>
      <c r="D226" s="72">
        <v>43529</v>
      </c>
      <c r="E226" s="73" t="s">
        <v>848</v>
      </c>
      <c r="F226" s="74" t="str">
        <f>VLOOKUP(WEEKDAY(D226,1),TABLAS!$D$50:$E$56,2)</f>
        <v>MARTES</v>
      </c>
      <c r="G226" s="75">
        <f>IF(F226="SABADO",IF(FCAS!$D$62=2,0,0),IF(F226="DOMINGO",0,1))</f>
        <v>1</v>
      </c>
    </row>
    <row r="227" spans="1:7" x14ac:dyDescent="0.2">
      <c r="A227" s="14">
        <v>227</v>
      </c>
      <c r="D227" s="76">
        <v>43573</v>
      </c>
      <c r="E227" s="77" t="s">
        <v>838</v>
      </c>
      <c r="F227" s="74" t="str">
        <f>VLOOKUP(WEEKDAY(D227,1),TABLAS!$D$50:$E$56,2)</f>
        <v>JUEVES</v>
      </c>
      <c r="G227" s="75">
        <f>IF(F227="SABADO",IF(FCAS!$D$62=2,0,0),IF(F227="DOMINGO",0,1))</f>
        <v>1</v>
      </c>
    </row>
    <row r="228" spans="1:7" x14ac:dyDescent="0.2">
      <c r="A228" s="14">
        <v>228</v>
      </c>
      <c r="D228" s="76">
        <v>43574</v>
      </c>
      <c r="E228" s="77" t="s">
        <v>839</v>
      </c>
      <c r="F228" s="74" t="str">
        <f>VLOOKUP(WEEKDAY(D228,1),TABLAS!$D$50:$E$56,2)</f>
        <v>VIERNES</v>
      </c>
      <c r="G228" s="75">
        <f>IF(F228="SABADO",IF(FCAS!$D$62=2,0,0),IF(F228="DOMINGO",0,1))</f>
        <v>1</v>
      </c>
    </row>
    <row r="229" spans="1:7" x14ac:dyDescent="0.2">
      <c r="A229" s="14">
        <v>229</v>
      </c>
      <c r="D229" s="76">
        <v>43574</v>
      </c>
      <c r="E229" s="77" t="s">
        <v>840</v>
      </c>
      <c r="F229" s="74" t="str">
        <f>VLOOKUP(WEEKDAY(D229,1),TABLAS!$D$50:$E$56,2)</f>
        <v>VIERNES</v>
      </c>
      <c r="G229" s="75">
        <f>IF(F229="SABADO",IF(FCAS!$D$62=2,0,0),IF(F229="DOMINGO",0,1))</f>
        <v>1</v>
      </c>
    </row>
    <row r="230" spans="1:7" x14ac:dyDescent="0.2">
      <c r="A230" s="14">
        <v>230</v>
      </c>
      <c r="D230" s="76">
        <v>43550</v>
      </c>
      <c r="E230" s="77" t="s">
        <v>841</v>
      </c>
      <c r="F230" s="74" t="str">
        <f>VLOOKUP(WEEKDAY(D230,1),TABLAS!$D$50:$E$56,2)</f>
        <v>MARTES</v>
      </c>
      <c r="G230" s="75">
        <f>IF(F230="SABADO",IF(FCAS!$D$62=2,0,0),IF(F230="DOMINGO",0,1))</f>
        <v>1</v>
      </c>
    </row>
    <row r="231" spans="1:7" x14ac:dyDescent="0.2">
      <c r="A231" s="14">
        <v>231</v>
      </c>
      <c r="D231" s="76">
        <v>43586</v>
      </c>
      <c r="E231" s="77" t="s">
        <v>842</v>
      </c>
      <c r="F231" s="74" t="str">
        <f>VLOOKUP(WEEKDAY(D231,1),TABLAS!$D$50:$E$56,2)</f>
        <v>MIERCOLES</v>
      </c>
      <c r="G231" s="75">
        <f>IF(F231="SABADO",IF(FCAS!$D$62=2,0,0),IF(F231="DOMINGO",0,1))</f>
        <v>1</v>
      </c>
    </row>
    <row r="232" spans="1:7" x14ac:dyDescent="0.2">
      <c r="A232" s="14">
        <v>232</v>
      </c>
      <c r="D232" s="76">
        <v>43640</v>
      </c>
      <c r="E232" s="77" t="s">
        <v>843</v>
      </c>
      <c r="F232" s="74" t="str">
        <f>VLOOKUP(WEEKDAY(D232,1),TABLAS!$D$50:$E$56,2)</f>
        <v>LUNES</v>
      </c>
      <c r="G232" s="75">
        <f>IF(F232="SABADO",IF(FCAS!$D$62=2,0,0),IF(F232="DOMINGO",0,1))</f>
        <v>1</v>
      </c>
    </row>
    <row r="233" spans="1:7" x14ac:dyDescent="0.2">
      <c r="A233" s="14">
        <v>233</v>
      </c>
      <c r="D233" s="76">
        <v>43651</v>
      </c>
      <c r="E233" s="77" t="s">
        <v>844</v>
      </c>
      <c r="F233" s="74" t="str">
        <f>VLOOKUP(WEEKDAY(D233,1),TABLAS!$D$50:$E$56,2)</f>
        <v>VIERNES</v>
      </c>
      <c r="G233" s="75">
        <f>IF(F233="SABADO",IF(FCAS!$D$62=2,0,0),IF(F233="DOMINGO",0,1))</f>
        <v>1</v>
      </c>
    </row>
    <row r="234" spans="1:7" x14ac:dyDescent="0.2">
      <c r="A234" s="14">
        <v>234</v>
      </c>
      <c r="D234" s="76">
        <v>43670</v>
      </c>
      <c r="E234" s="77" t="s">
        <v>845</v>
      </c>
      <c r="F234" s="74" t="str">
        <f>VLOOKUP(WEEKDAY(D234,1),TABLAS!$D$50:$E$56,2)</f>
        <v>MIERCOLES</v>
      </c>
      <c r="G234" s="75">
        <f>IF(F234="SABADO",IF(FCAS!$D$62=2,0,0),IF(F234="DOMINGO",0,1))</f>
        <v>1</v>
      </c>
    </row>
    <row r="235" spans="1:7" x14ac:dyDescent="0.2">
      <c r="A235" s="14">
        <v>235</v>
      </c>
      <c r="D235" s="76">
        <v>43750</v>
      </c>
      <c r="E235" s="77" t="s">
        <v>846</v>
      </c>
      <c r="F235" s="74" t="str">
        <f>VLOOKUP(WEEKDAY(D235,1),TABLAS!$D$50:$E$56,2)</f>
        <v>SABADO</v>
      </c>
      <c r="G235" s="75">
        <f>IF(F235="SABADO",IF(FCAS!$D$62=2,0,0),IF(F235="DOMINGO",0,1))</f>
        <v>0</v>
      </c>
    </row>
    <row r="236" spans="1:7" x14ac:dyDescent="0.2">
      <c r="A236" s="14">
        <v>236</v>
      </c>
      <c r="D236" s="76">
        <v>43823</v>
      </c>
      <c r="E236" s="77" t="s">
        <v>847</v>
      </c>
      <c r="F236" s="74" t="str">
        <f>VLOOKUP(WEEKDAY(D236,1),TABLAS!$D$50:$E$56,2)</f>
        <v>MARTES</v>
      </c>
      <c r="G236" s="75">
        <f>IF(F236="SABADO",IF(FCAS!$D$62=2,0,0),IF(F236="DOMINGO",0,1))</f>
        <v>1</v>
      </c>
    </row>
    <row r="237" spans="1:7" x14ac:dyDescent="0.2">
      <c r="A237" s="14">
        <v>237</v>
      </c>
      <c r="D237" s="76">
        <v>43824</v>
      </c>
      <c r="E237" s="77" t="s">
        <v>847</v>
      </c>
      <c r="F237" s="74" t="str">
        <f>VLOOKUP(WEEKDAY(D237,1),TABLAS!$D$50:$E$56,2)</f>
        <v>MIERCOLES</v>
      </c>
      <c r="G237" s="75">
        <f>IF(F237="SABADO",IF(FCAS!$D$62=2,0,0),IF(F237="DOMINGO",0,1))</f>
        <v>1</v>
      </c>
    </row>
    <row r="238" spans="1:7" x14ac:dyDescent="0.2">
      <c r="A238" s="14">
        <v>238</v>
      </c>
      <c r="D238" s="76">
        <v>43830</v>
      </c>
      <c r="E238" s="77" t="s">
        <v>847</v>
      </c>
      <c r="F238" s="74" t="str">
        <f>VLOOKUP(WEEKDAY(D238,1),TABLAS!$D$50:$E$56,2)</f>
        <v>MARTES</v>
      </c>
      <c r="G238" s="75">
        <f>IF(F238="SABADO",IF(FCAS!$D$62=2,0,0),IF(F238="DOMINGO",0,1))</f>
        <v>1</v>
      </c>
    </row>
    <row r="239" spans="1:7" x14ac:dyDescent="0.2">
      <c r="A239" s="14">
        <v>239</v>
      </c>
      <c r="G239" s="80">
        <f>SUM(G224:G237)</f>
        <v>13</v>
      </c>
    </row>
    <row r="240" spans="1:7" x14ac:dyDescent="0.2">
      <c r="A240" s="14">
        <v>240</v>
      </c>
    </row>
    <row r="241" spans="1:7" x14ac:dyDescent="0.2">
      <c r="A241" s="14">
        <v>241</v>
      </c>
    </row>
    <row r="242" spans="1:7" x14ac:dyDescent="0.2">
      <c r="A242" s="14">
        <v>242</v>
      </c>
      <c r="D242" s="66"/>
      <c r="E242" s="81"/>
      <c r="F242" s="68"/>
      <c r="G242" s="68"/>
    </row>
    <row r="243" spans="1:7" x14ac:dyDescent="0.2">
      <c r="A243" s="14">
        <v>243</v>
      </c>
      <c r="D243" s="69" t="s">
        <v>384</v>
      </c>
      <c r="E243" s="82" t="s">
        <v>834</v>
      </c>
      <c r="F243" s="71" t="s">
        <v>835</v>
      </c>
      <c r="G243" s="71" t="s">
        <v>836</v>
      </c>
    </row>
    <row r="244" spans="1:7" x14ac:dyDescent="0.2">
      <c r="A244" s="14">
        <v>244</v>
      </c>
      <c r="D244" s="72">
        <v>43831</v>
      </c>
      <c r="E244" s="73" t="s">
        <v>837</v>
      </c>
      <c r="F244" s="74" t="str">
        <f>VLOOKUP(WEEKDAY(D244,1),TABLAS!$D$50:$E$56,2)</f>
        <v>MIERCOLES</v>
      </c>
      <c r="G244" s="75">
        <f>IF(F244="SABADO",IF(FCAS!$D$62=2,0,0),IF(F244="DOMINGO",0,1))</f>
        <v>1</v>
      </c>
    </row>
    <row r="245" spans="1:7" x14ac:dyDescent="0.2">
      <c r="A245" s="14">
        <v>245</v>
      </c>
      <c r="D245" s="72">
        <v>43885</v>
      </c>
      <c r="E245" s="73" t="s">
        <v>848</v>
      </c>
      <c r="F245" s="74" t="str">
        <f>VLOOKUP(WEEKDAY(D245,1),TABLAS!$D$50:$E$56,2)</f>
        <v>LUNES</v>
      </c>
      <c r="G245" s="75">
        <f>IF(F245="SABADO",IF(FCAS!$D$62=2,0,0),IF(F245="DOMINGO",0,1))</f>
        <v>1</v>
      </c>
    </row>
    <row r="246" spans="1:7" x14ac:dyDescent="0.2">
      <c r="A246" s="14">
        <v>246</v>
      </c>
      <c r="D246" s="72">
        <v>43886</v>
      </c>
      <c r="E246" s="73" t="s">
        <v>848</v>
      </c>
      <c r="F246" s="74" t="str">
        <f>VLOOKUP(WEEKDAY(D246,1),TABLAS!$D$50:$E$56,2)</f>
        <v>MARTES</v>
      </c>
      <c r="G246" s="75">
        <f>IF(F246="SABADO",IF(FCAS!$D$62=2,0,0),IF(F246="DOMINGO",0,1))</f>
        <v>1</v>
      </c>
    </row>
    <row r="247" spans="1:7" x14ac:dyDescent="0.2">
      <c r="A247" s="14">
        <v>247</v>
      </c>
      <c r="D247" s="76">
        <v>43930</v>
      </c>
      <c r="E247" s="77" t="s">
        <v>838</v>
      </c>
      <c r="F247" s="74" t="str">
        <f>VLOOKUP(WEEKDAY(D247,1),TABLAS!$D$50:$E$56,2)</f>
        <v>JUEVES</v>
      </c>
      <c r="G247" s="75">
        <f>IF(F247="SABADO",IF(FCAS!$D$62=2,0,0),IF(F247="DOMINGO",0,1))</f>
        <v>1</v>
      </c>
    </row>
    <row r="248" spans="1:7" x14ac:dyDescent="0.2">
      <c r="A248" s="14">
        <v>248</v>
      </c>
      <c r="D248" s="76">
        <v>43931</v>
      </c>
      <c r="E248" s="77" t="s">
        <v>839</v>
      </c>
      <c r="F248" s="74" t="str">
        <f>VLOOKUP(WEEKDAY(D248,1),TABLAS!$D$50:$E$56,2)</f>
        <v>VIERNES</v>
      </c>
      <c r="G248" s="75">
        <f>IF(F248="SABADO",IF(FCAS!$D$62=2,0,0),IF(F248="DOMINGO",0,1))</f>
        <v>1</v>
      </c>
    </row>
    <row r="249" spans="1:7" x14ac:dyDescent="0.2">
      <c r="A249" s="14">
        <v>249</v>
      </c>
      <c r="D249" s="76">
        <v>43940</v>
      </c>
      <c r="E249" s="77" t="s">
        <v>840</v>
      </c>
      <c r="F249" s="74" t="str">
        <f>VLOOKUP(WEEKDAY(D249,1),TABLAS!$D$50:$E$56,2)</f>
        <v>DOMINGO</v>
      </c>
      <c r="G249" s="75">
        <f>IF(F249="SABADO",IF(FCAS!$D$62=2,0,0),IF(F249="DOMINGO",0,1))</f>
        <v>0</v>
      </c>
    </row>
    <row r="250" spans="1:7" x14ac:dyDescent="0.2">
      <c r="A250" s="14">
        <v>250</v>
      </c>
      <c r="D250" s="76">
        <v>43916</v>
      </c>
      <c r="E250" s="77" t="s">
        <v>841</v>
      </c>
      <c r="F250" s="74" t="str">
        <f>VLOOKUP(WEEKDAY(D250,1),TABLAS!$D$50:$E$56,2)</f>
        <v>JUEVES</v>
      </c>
      <c r="G250" s="75">
        <f>IF(F250="SABADO",IF(FCAS!$D$62=2,0,0),IF(F250="DOMINGO",0,1))</f>
        <v>1</v>
      </c>
    </row>
    <row r="251" spans="1:7" x14ac:dyDescent="0.2">
      <c r="A251" s="14">
        <v>251</v>
      </c>
      <c r="D251" s="76">
        <v>43952</v>
      </c>
      <c r="E251" s="77" t="s">
        <v>842</v>
      </c>
      <c r="F251" s="74" t="str">
        <f>VLOOKUP(WEEKDAY(D251,1),TABLAS!$D$50:$E$56,2)</f>
        <v>VIERNES</v>
      </c>
      <c r="G251" s="75">
        <f>IF(F251="SABADO",IF(FCAS!$D$62=2,0,0),IF(F251="DOMINGO",0,1))</f>
        <v>1</v>
      </c>
    </row>
    <row r="252" spans="1:7" x14ac:dyDescent="0.2">
      <c r="A252" s="14">
        <v>252</v>
      </c>
      <c r="D252" s="76">
        <v>44006</v>
      </c>
      <c r="E252" s="77" t="s">
        <v>843</v>
      </c>
      <c r="F252" s="74" t="str">
        <f>VLOOKUP(WEEKDAY(D252,1),TABLAS!$D$50:$E$56,2)</f>
        <v>MIERCOLES</v>
      </c>
      <c r="G252" s="75">
        <f>IF(F252="SABADO",IF(FCAS!$D$62=2,0,0),IF(F252="DOMINGO",0,1))</f>
        <v>1</v>
      </c>
    </row>
    <row r="253" spans="1:7" x14ac:dyDescent="0.2">
      <c r="A253" s="14">
        <v>253</v>
      </c>
      <c r="D253" s="76">
        <v>44017</v>
      </c>
      <c r="E253" s="77" t="s">
        <v>844</v>
      </c>
      <c r="F253" s="74" t="str">
        <f>VLOOKUP(WEEKDAY(D253,1),TABLAS!$D$50:$E$56,2)</f>
        <v>DOMINGO</v>
      </c>
      <c r="G253" s="75">
        <f>IF(F253="SABADO",IF(FCAS!$D$62=2,0,0),IF(F253="DOMINGO",0,1))</f>
        <v>0</v>
      </c>
    </row>
    <row r="254" spans="1:7" x14ac:dyDescent="0.2">
      <c r="A254" s="14">
        <v>254</v>
      </c>
      <c r="D254" s="76">
        <v>44036</v>
      </c>
      <c r="E254" s="77" t="s">
        <v>845</v>
      </c>
      <c r="F254" s="74" t="str">
        <f>VLOOKUP(WEEKDAY(D254,1),TABLAS!$D$50:$E$56,2)</f>
        <v>VIERNES</v>
      </c>
      <c r="G254" s="75">
        <f>IF(F254="SABADO",IF(FCAS!$D$62=2,0,0),IF(F254="DOMINGO",0,1))</f>
        <v>1</v>
      </c>
    </row>
    <row r="255" spans="1:7" x14ac:dyDescent="0.2">
      <c r="A255" s="14">
        <v>255</v>
      </c>
      <c r="D255" s="76">
        <v>44116</v>
      </c>
      <c r="E255" s="77" t="s">
        <v>846</v>
      </c>
      <c r="F255" s="74" t="str">
        <f>VLOOKUP(WEEKDAY(D255,1),TABLAS!$D$50:$E$56,2)</f>
        <v>LUNES</v>
      </c>
      <c r="G255" s="75">
        <f>IF(F255="SABADO",IF(FCAS!$D$62=2,0,0),IF(F255="DOMINGO",0,1))</f>
        <v>1</v>
      </c>
    </row>
    <row r="256" spans="1:7" x14ac:dyDescent="0.2">
      <c r="A256" s="14">
        <v>256</v>
      </c>
      <c r="D256" s="76">
        <v>44189</v>
      </c>
      <c r="E256" s="77" t="s">
        <v>847</v>
      </c>
      <c r="F256" s="74" t="str">
        <f>VLOOKUP(WEEKDAY(D256,1),TABLAS!$D$50:$E$56,2)</f>
        <v>JUEVES</v>
      </c>
      <c r="G256" s="75">
        <f>IF(F256="SABADO",IF(FCAS!$D$62=2,0,0),IF(F256="DOMINGO",0,1))</f>
        <v>1</v>
      </c>
    </row>
    <row r="257" spans="1:7" x14ac:dyDescent="0.2">
      <c r="A257" s="14">
        <v>257</v>
      </c>
      <c r="D257" s="76">
        <v>44190</v>
      </c>
      <c r="E257" s="77" t="s">
        <v>847</v>
      </c>
      <c r="F257" s="74" t="str">
        <f>VLOOKUP(WEEKDAY(D257,1),TABLAS!$D$50:$E$56,2)</f>
        <v>VIERNES</v>
      </c>
      <c r="G257" s="75">
        <f>IF(F257="SABADO",IF(FCAS!$D$62=2,0,0),IF(F257="DOMINGO",0,1))</f>
        <v>1</v>
      </c>
    </row>
    <row r="258" spans="1:7" x14ac:dyDescent="0.2">
      <c r="A258" s="14">
        <v>258</v>
      </c>
      <c r="D258" s="76">
        <v>44196</v>
      </c>
      <c r="E258" s="77" t="s">
        <v>847</v>
      </c>
      <c r="F258" s="74" t="str">
        <f>VLOOKUP(WEEKDAY(D258,1),TABLAS!$D$50:$E$56,2)</f>
        <v>JUEVES</v>
      </c>
      <c r="G258" s="75">
        <f>IF(F258="SABADO",IF(FCAS!$D$62=2,0,0),IF(F258="DOMINGO",0,1))</f>
        <v>1</v>
      </c>
    </row>
    <row r="259" spans="1:7" x14ac:dyDescent="0.2">
      <c r="A259" s="14">
        <v>259</v>
      </c>
      <c r="G259" s="80">
        <f>SUM(G244:G257)</f>
        <v>12</v>
      </c>
    </row>
  </sheetData>
  <phoneticPr fontId="0" type="noConversion"/>
  <pageMargins left="0.75" right="0.75" top="1" bottom="1" header="0" footer="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L604"/>
  <sheetViews>
    <sheetView showGridLines="0" workbookViewId="0"/>
  </sheetViews>
  <sheetFormatPr baseColWidth="10" defaultRowHeight="11.25" x14ac:dyDescent="0.2"/>
  <cols>
    <col min="1" max="1" width="12" style="14"/>
    <col min="3" max="9" width="2.83203125" customWidth="1"/>
    <col min="10" max="10" width="1.83203125" customWidth="1"/>
    <col min="11" max="11" width="5" bestFit="1" customWidth="1"/>
    <col min="12" max="12" width="11.83203125" bestFit="1" customWidth="1"/>
    <col min="13" max="13" width="3.6640625" bestFit="1" customWidth="1"/>
    <col min="14" max="14" width="1.6640625" customWidth="1"/>
    <col min="15" max="21" width="2.83203125" customWidth="1"/>
    <col min="22" max="22" width="1.5" customWidth="1"/>
    <col min="23" max="23" width="5" bestFit="1" customWidth="1"/>
    <col min="24" max="24" width="11.83203125" bestFit="1" customWidth="1"/>
    <col min="25" max="25" width="4.1640625" bestFit="1" customWidth="1"/>
    <col min="26" max="26" width="1.6640625" customWidth="1"/>
    <col min="27" max="33" width="2.83203125" customWidth="1"/>
    <col min="34" max="34" width="1.5" customWidth="1"/>
    <col min="35" max="35" width="5" bestFit="1" customWidth="1"/>
    <col min="37" max="37" width="4.1640625" bestFit="1" customWidth="1"/>
  </cols>
  <sheetData>
    <row r="1" spans="1:38" s="14" customForma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177</v>
      </c>
      <c r="M1" s="57" t="s">
        <v>178</v>
      </c>
      <c r="N1" s="57" t="s">
        <v>179</v>
      </c>
      <c r="O1" s="57" t="s">
        <v>534</v>
      </c>
      <c r="P1" s="57" t="s">
        <v>535</v>
      </c>
      <c r="Q1" s="57" t="s">
        <v>852</v>
      </c>
      <c r="R1" s="57" t="s">
        <v>853</v>
      </c>
      <c r="S1" s="57" t="s">
        <v>854</v>
      </c>
      <c r="T1" s="57" t="s">
        <v>855</v>
      </c>
      <c r="U1" s="57" t="s">
        <v>856</v>
      </c>
      <c r="V1" s="57" t="s">
        <v>857</v>
      </c>
      <c r="W1" s="57" t="s">
        <v>858</v>
      </c>
      <c r="X1" s="57" t="s">
        <v>105</v>
      </c>
      <c r="Y1" s="57" t="s">
        <v>859</v>
      </c>
      <c r="Z1" s="57" t="s">
        <v>860</v>
      </c>
      <c r="AA1" s="57" t="s">
        <v>861</v>
      </c>
      <c r="AB1" s="57" t="s">
        <v>862</v>
      </c>
      <c r="AC1" s="57" t="s">
        <v>863</v>
      </c>
      <c r="AD1" s="57" t="s">
        <v>864</v>
      </c>
      <c r="AE1" s="57" t="s">
        <v>865</v>
      </c>
      <c r="AF1" s="57" t="s">
        <v>866</v>
      </c>
      <c r="AG1" s="57" t="s">
        <v>867</v>
      </c>
      <c r="AH1" s="57" t="s">
        <v>868</v>
      </c>
      <c r="AI1" s="57" t="s">
        <v>869</v>
      </c>
      <c r="AJ1" s="57" t="s">
        <v>870</v>
      </c>
      <c r="AK1" s="57" t="s">
        <v>871</v>
      </c>
      <c r="AL1" s="57" t="s">
        <v>872</v>
      </c>
    </row>
    <row r="2" spans="1:38" x14ac:dyDescent="0.2">
      <c r="A2" s="14">
        <v>2</v>
      </c>
    </row>
    <row r="3" spans="1:38" ht="12.75" x14ac:dyDescent="0.2">
      <c r="A3" s="14">
        <v>3</v>
      </c>
      <c r="C3" s="85" t="s">
        <v>873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</row>
    <row r="4" spans="1:38" x14ac:dyDescent="0.2">
      <c r="A4" s="14">
        <v>4</v>
      </c>
    </row>
    <row r="5" spans="1:38" x14ac:dyDescent="0.2">
      <c r="A5" s="14">
        <v>5</v>
      </c>
      <c r="C5" s="87" t="s">
        <v>874</v>
      </c>
      <c r="D5" s="88"/>
      <c r="E5" s="88"/>
      <c r="F5" s="88"/>
      <c r="G5" s="88"/>
      <c r="H5" s="88"/>
      <c r="I5" s="88"/>
      <c r="J5" s="4"/>
      <c r="K5" s="4"/>
      <c r="L5" s="89"/>
      <c r="M5" s="90"/>
      <c r="N5" s="4"/>
      <c r="O5" s="87" t="s">
        <v>875</v>
      </c>
      <c r="P5" s="88"/>
      <c r="Q5" s="88"/>
      <c r="R5" s="88"/>
      <c r="S5" s="88"/>
      <c r="T5" s="88"/>
      <c r="U5" s="88"/>
      <c r="V5" s="4"/>
      <c r="W5" s="4"/>
      <c r="X5" s="4"/>
      <c r="Y5" s="4"/>
      <c r="Z5" s="4"/>
      <c r="AA5" s="87" t="s">
        <v>876</v>
      </c>
      <c r="AB5" s="88"/>
      <c r="AC5" s="88"/>
      <c r="AD5" s="88"/>
      <c r="AE5" s="88"/>
      <c r="AF5" s="88"/>
      <c r="AG5" s="88"/>
      <c r="AH5" s="4"/>
      <c r="AI5" s="4"/>
      <c r="AJ5" s="4"/>
      <c r="AK5" s="4"/>
    </row>
    <row r="6" spans="1:38" x14ac:dyDescent="0.2">
      <c r="A6" s="14">
        <v>6</v>
      </c>
      <c r="C6" s="55" t="s">
        <v>3</v>
      </c>
      <c r="D6" s="55" t="s">
        <v>177</v>
      </c>
      <c r="E6" s="55" t="s">
        <v>178</v>
      </c>
      <c r="F6" s="55" t="s">
        <v>178</v>
      </c>
      <c r="G6" s="55" t="s">
        <v>9</v>
      </c>
      <c r="H6" s="55" t="s">
        <v>857</v>
      </c>
      <c r="I6" s="55" t="s">
        <v>854</v>
      </c>
      <c r="K6" s="56" t="s">
        <v>877</v>
      </c>
      <c r="L6" s="4"/>
      <c r="M6" s="4"/>
      <c r="N6" s="4"/>
      <c r="O6" s="55" t="s">
        <v>3</v>
      </c>
      <c r="P6" s="55" t="s">
        <v>177</v>
      </c>
      <c r="Q6" s="55" t="s">
        <v>178</v>
      </c>
      <c r="R6" s="55" t="s">
        <v>178</v>
      </c>
      <c r="S6" s="55" t="s">
        <v>9</v>
      </c>
      <c r="T6" s="55" t="s">
        <v>857</v>
      </c>
      <c r="U6" s="55" t="s">
        <v>854</v>
      </c>
      <c r="W6" s="56" t="s">
        <v>877</v>
      </c>
      <c r="X6" s="4"/>
      <c r="Y6" s="57"/>
      <c r="Z6" s="4"/>
      <c r="AA6" s="55" t="s">
        <v>3</v>
      </c>
      <c r="AB6" s="55" t="s">
        <v>177</v>
      </c>
      <c r="AC6" s="55" t="s">
        <v>178</v>
      </c>
      <c r="AD6" s="55" t="s">
        <v>178</v>
      </c>
      <c r="AE6" s="55" t="s">
        <v>9</v>
      </c>
      <c r="AF6" s="55" t="s">
        <v>857</v>
      </c>
      <c r="AG6" s="55" t="s">
        <v>854</v>
      </c>
      <c r="AI6" s="56" t="s">
        <v>877</v>
      </c>
      <c r="AJ6" s="4"/>
      <c r="AK6" s="4"/>
    </row>
    <row r="7" spans="1:38" x14ac:dyDescent="0.2">
      <c r="A7" s="14">
        <v>7</v>
      </c>
      <c r="C7" s="58"/>
      <c r="D7" s="91"/>
      <c r="E7" s="91"/>
      <c r="F7" s="91"/>
      <c r="G7" s="91"/>
      <c r="H7" s="91"/>
      <c r="I7" s="92"/>
      <c r="K7" s="93"/>
      <c r="L7" s="94"/>
      <c r="M7" s="95"/>
      <c r="N7" s="96"/>
      <c r="O7" s="58"/>
      <c r="P7" s="91"/>
      <c r="Q7" s="91"/>
      <c r="R7" s="91"/>
      <c r="S7" s="97">
        <v>1</v>
      </c>
      <c r="T7" s="97">
        <v>2</v>
      </c>
      <c r="U7" s="92">
        <v>3</v>
      </c>
      <c r="W7" s="98">
        <v>5</v>
      </c>
      <c r="X7" s="94"/>
      <c r="Y7" s="99"/>
      <c r="Z7" s="96"/>
      <c r="AA7" s="58"/>
      <c r="AB7" s="91"/>
      <c r="AC7" s="91"/>
      <c r="AD7" s="91"/>
      <c r="AE7" s="91">
        <v>1</v>
      </c>
      <c r="AF7" s="91">
        <v>2</v>
      </c>
      <c r="AG7" s="92">
        <v>3</v>
      </c>
      <c r="AI7" s="100">
        <v>9</v>
      </c>
      <c r="AJ7" s="94"/>
      <c r="AK7" s="49"/>
    </row>
    <row r="8" spans="1:38" x14ac:dyDescent="0.2">
      <c r="A8" s="14">
        <v>8</v>
      </c>
      <c r="C8" s="101"/>
      <c r="D8" s="102">
        <v>1</v>
      </c>
      <c r="E8" s="91">
        <v>2</v>
      </c>
      <c r="F8" s="91">
        <v>3</v>
      </c>
      <c r="G8" s="91">
        <v>4</v>
      </c>
      <c r="H8" s="91">
        <v>5</v>
      </c>
      <c r="I8" s="92">
        <v>6</v>
      </c>
      <c r="K8" s="93">
        <v>1</v>
      </c>
      <c r="L8" s="103" t="s">
        <v>418</v>
      </c>
      <c r="M8" s="104">
        <v>4</v>
      </c>
      <c r="N8" s="96"/>
      <c r="O8" s="101">
        <v>4</v>
      </c>
      <c r="P8" s="91">
        <v>5</v>
      </c>
      <c r="Q8" s="91">
        <v>6</v>
      </c>
      <c r="R8" s="91">
        <v>7</v>
      </c>
      <c r="S8" s="91">
        <v>8</v>
      </c>
      <c r="T8" s="91">
        <v>9</v>
      </c>
      <c r="U8" s="92">
        <v>10</v>
      </c>
      <c r="W8" s="98">
        <v>6</v>
      </c>
      <c r="X8" s="103" t="s">
        <v>418</v>
      </c>
      <c r="Y8" s="105">
        <v>4</v>
      </c>
      <c r="Z8" s="96"/>
      <c r="AA8" s="101">
        <v>4</v>
      </c>
      <c r="AB8" s="91">
        <v>5</v>
      </c>
      <c r="AC8" s="91">
        <v>6</v>
      </c>
      <c r="AD8" s="91">
        <v>7</v>
      </c>
      <c r="AE8" s="91">
        <v>8</v>
      </c>
      <c r="AF8" s="91">
        <v>9</v>
      </c>
      <c r="AG8" s="92">
        <v>10</v>
      </c>
      <c r="AI8" s="100">
        <v>10</v>
      </c>
      <c r="AJ8" s="103" t="s">
        <v>418</v>
      </c>
      <c r="AK8" s="106">
        <v>4</v>
      </c>
    </row>
    <row r="9" spans="1:38" x14ac:dyDescent="0.2">
      <c r="A9" s="14">
        <v>9</v>
      </c>
      <c r="C9" s="101">
        <v>7</v>
      </c>
      <c r="D9" s="91">
        <v>8</v>
      </c>
      <c r="E9" s="91">
        <v>9</v>
      </c>
      <c r="F9" s="91">
        <v>10</v>
      </c>
      <c r="G9" s="91">
        <v>11</v>
      </c>
      <c r="H9" s="91">
        <v>12</v>
      </c>
      <c r="I9" s="92">
        <v>13</v>
      </c>
      <c r="K9" s="93">
        <v>2</v>
      </c>
      <c r="L9" s="103" t="s">
        <v>425</v>
      </c>
      <c r="M9" s="104">
        <v>4</v>
      </c>
      <c r="N9" s="96"/>
      <c r="O9" s="101">
        <v>11</v>
      </c>
      <c r="P9" s="91">
        <v>12</v>
      </c>
      <c r="Q9" s="91">
        <v>13</v>
      </c>
      <c r="R9" s="91">
        <v>14</v>
      </c>
      <c r="S9" s="91">
        <v>15</v>
      </c>
      <c r="T9" s="91">
        <v>16</v>
      </c>
      <c r="U9" s="92">
        <v>17</v>
      </c>
      <c r="W9" s="98">
        <v>7</v>
      </c>
      <c r="X9" s="103" t="s">
        <v>425</v>
      </c>
      <c r="Y9" s="105">
        <v>4</v>
      </c>
      <c r="Z9" s="96"/>
      <c r="AA9" s="101">
        <v>11</v>
      </c>
      <c r="AB9" s="91">
        <v>12</v>
      </c>
      <c r="AC9" s="91">
        <v>13</v>
      </c>
      <c r="AD9" s="91">
        <v>14</v>
      </c>
      <c r="AE9" s="91">
        <v>15</v>
      </c>
      <c r="AF9" s="91">
        <v>16</v>
      </c>
      <c r="AG9" s="92">
        <v>17</v>
      </c>
      <c r="AI9" s="100">
        <v>11</v>
      </c>
      <c r="AJ9" s="103" t="s">
        <v>425</v>
      </c>
      <c r="AK9" s="106">
        <v>5</v>
      </c>
    </row>
    <row r="10" spans="1:38" x14ac:dyDescent="0.2">
      <c r="A10" s="14">
        <v>10</v>
      </c>
      <c r="C10" s="101">
        <v>14</v>
      </c>
      <c r="D10" s="91">
        <v>15</v>
      </c>
      <c r="E10" s="91">
        <v>16</v>
      </c>
      <c r="F10" s="91">
        <v>17</v>
      </c>
      <c r="G10" s="91">
        <v>18</v>
      </c>
      <c r="H10" s="91">
        <v>19</v>
      </c>
      <c r="I10" s="92">
        <v>20</v>
      </c>
      <c r="K10" s="93">
        <v>3</v>
      </c>
      <c r="L10" s="103" t="s">
        <v>878</v>
      </c>
      <c r="M10" s="104">
        <v>31</v>
      </c>
      <c r="N10" s="96"/>
      <c r="O10" s="101">
        <v>18</v>
      </c>
      <c r="P10" s="91">
        <v>19</v>
      </c>
      <c r="Q10" s="91">
        <v>20</v>
      </c>
      <c r="R10" s="91">
        <v>21</v>
      </c>
      <c r="S10" s="91">
        <v>22</v>
      </c>
      <c r="T10" s="91">
        <v>23</v>
      </c>
      <c r="U10" s="92">
        <v>24</v>
      </c>
      <c r="W10" s="98">
        <v>8</v>
      </c>
      <c r="X10" s="103" t="s">
        <v>878</v>
      </c>
      <c r="Y10" s="105">
        <v>28</v>
      </c>
      <c r="Z10" s="96"/>
      <c r="AA10" s="101">
        <v>18</v>
      </c>
      <c r="AB10" s="91">
        <v>19</v>
      </c>
      <c r="AC10" s="91">
        <v>20</v>
      </c>
      <c r="AD10" s="91">
        <v>21</v>
      </c>
      <c r="AE10" s="97">
        <v>22</v>
      </c>
      <c r="AF10" s="97">
        <v>23</v>
      </c>
      <c r="AG10" s="92">
        <v>24</v>
      </c>
      <c r="AI10" s="100">
        <v>12</v>
      </c>
      <c r="AJ10" s="103" t="s">
        <v>878</v>
      </c>
      <c r="AK10" s="106">
        <v>31</v>
      </c>
    </row>
    <row r="11" spans="1:38" x14ac:dyDescent="0.2">
      <c r="A11" s="14">
        <v>11</v>
      </c>
      <c r="C11" s="101">
        <v>21</v>
      </c>
      <c r="D11" s="91">
        <v>22</v>
      </c>
      <c r="E11" s="91">
        <v>23</v>
      </c>
      <c r="F11" s="91">
        <v>24</v>
      </c>
      <c r="G11" s="91">
        <v>25</v>
      </c>
      <c r="H11" s="91">
        <v>26</v>
      </c>
      <c r="I11" s="92">
        <v>27</v>
      </c>
      <c r="K11" s="93">
        <v>4</v>
      </c>
      <c r="L11" s="107"/>
      <c r="M11" s="108"/>
      <c r="N11" s="96"/>
      <c r="O11" s="101">
        <v>25</v>
      </c>
      <c r="P11" s="91">
        <v>26</v>
      </c>
      <c r="Q11" s="91">
        <v>27</v>
      </c>
      <c r="R11" s="91">
        <v>28</v>
      </c>
      <c r="S11" s="91"/>
      <c r="T11" s="91"/>
      <c r="U11" s="92"/>
      <c r="W11" s="98">
        <v>9</v>
      </c>
      <c r="X11" s="107"/>
      <c r="Y11" s="109"/>
      <c r="Z11" s="96"/>
      <c r="AA11" s="101">
        <v>25</v>
      </c>
      <c r="AB11" s="110">
        <v>26</v>
      </c>
      <c r="AC11" s="91">
        <v>27</v>
      </c>
      <c r="AD11" s="91">
        <v>28</v>
      </c>
      <c r="AE11" s="91">
        <v>29</v>
      </c>
      <c r="AF11" s="91">
        <v>30</v>
      </c>
      <c r="AG11" s="92">
        <v>31</v>
      </c>
      <c r="AI11" s="100">
        <v>13</v>
      </c>
      <c r="AJ11" s="111"/>
      <c r="AK11" s="112"/>
    </row>
    <row r="12" spans="1:38" x14ac:dyDescent="0.2">
      <c r="A12" s="14">
        <v>12</v>
      </c>
      <c r="C12" s="101">
        <v>28</v>
      </c>
      <c r="D12" s="91">
        <v>29</v>
      </c>
      <c r="E12" s="91">
        <v>30</v>
      </c>
      <c r="F12" s="91">
        <v>31</v>
      </c>
      <c r="G12" s="113"/>
      <c r="H12" s="113"/>
      <c r="I12" s="114"/>
      <c r="K12" s="93">
        <v>5</v>
      </c>
      <c r="L12" s="107"/>
      <c r="M12" s="115"/>
      <c r="N12" s="96"/>
      <c r="O12" s="101"/>
      <c r="P12" s="91"/>
      <c r="Q12" s="113"/>
      <c r="R12" s="113"/>
      <c r="S12" s="113"/>
      <c r="T12" s="113"/>
      <c r="U12" s="114"/>
      <c r="W12" s="98"/>
      <c r="X12" s="107"/>
      <c r="Y12" s="96"/>
      <c r="Z12" s="96"/>
      <c r="AA12" s="101"/>
      <c r="AB12" s="91"/>
      <c r="AC12" s="113"/>
      <c r="AD12" s="113"/>
      <c r="AE12" s="113"/>
      <c r="AF12" s="113"/>
      <c r="AG12" s="114"/>
      <c r="AI12" s="116"/>
      <c r="AJ12" s="111"/>
      <c r="AK12" s="4"/>
    </row>
    <row r="13" spans="1:38" x14ac:dyDescent="0.2">
      <c r="A13" s="14">
        <v>13</v>
      </c>
      <c r="C13" s="88"/>
      <c r="D13" s="88"/>
      <c r="E13" s="88"/>
      <c r="F13" s="88"/>
      <c r="G13" s="88"/>
      <c r="H13" s="88"/>
      <c r="I13" s="88"/>
      <c r="K13" s="117"/>
      <c r="L13" s="111"/>
      <c r="M13" s="118"/>
      <c r="N13" s="4"/>
      <c r="O13" s="4"/>
      <c r="P13" s="4"/>
      <c r="Q13" s="4"/>
      <c r="R13" s="4"/>
      <c r="S13" s="4"/>
      <c r="T13" s="4"/>
      <c r="U13" s="4"/>
      <c r="W13" s="119"/>
      <c r="X13" s="111"/>
      <c r="Y13" s="4"/>
      <c r="Z13" s="4"/>
      <c r="AA13" s="4"/>
      <c r="AB13" s="4"/>
      <c r="AC13" s="4"/>
      <c r="AD13" s="4"/>
      <c r="AE13" s="4"/>
      <c r="AF13" s="4"/>
      <c r="AG13" s="4"/>
      <c r="AI13" s="120"/>
      <c r="AJ13" s="111"/>
      <c r="AK13" s="4"/>
    </row>
    <row r="14" spans="1:38" x14ac:dyDescent="0.2">
      <c r="A14" s="14">
        <v>14</v>
      </c>
      <c r="C14" s="87" t="s">
        <v>879</v>
      </c>
      <c r="D14" s="88"/>
      <c r="E14" s="88"/>
      <c r="F14" s="88"/>
      <c r="G14" s="88"/>
      <c r="H14" s="88"/>
      <c r="I14" s="88"/>
      <c r="K14" s="117"/>
      <c r="L14" s="111"/>
      <c r="M14" s="121"/>
      <c r="N14" s="4"/>
      <c r="O14" s="87" t="s">
        <v>880</v>
      </c>
      <c r="P14" s="88"/>
      <c r="Q14" s="88"/>
      <c r="R14" s="88"/>
      <c r="S14" s="88"/>
      <c r="T14" s="88"/>
      <c r="U14" s="88"/>
      <c r="W14" s="119"/>
      <c r="X14" s="111"/>
      <c r="Y14" s="4"/>
      <c r="Z14" s="4"/>
      <c r="AA14" s="87" t="s">
        <v>881</v>
      </c>
      <c r="AB14" s="88"/>
      <c r="AC14" s="88"/>
      <c r="AD14" s="88"/>
      <c r="AE14" s="88"/>
      <c r="AF14" s="88"/>
      <c r="AG14" s="88"/>
      <c r="AI14" s="120"/>
      <c r="AJ14" s="111"/>
      <c r="AK14" s="4"/>
    </row>
    <row r="15" spans="1:38" x14ac:dyDescent="0.2">
      <c r="A15" s="14">
        <v>15</v>
      </c>
      <c r="C15" s="55" t="s">
        <v>3</v>
      </c>
      <c r="D15" s="55" t="s">
        <v>177</v>
      </c>
      <c r="E15" s="55" t="s">
        <v>178</v>
      </c>
      <c r="F15" s="55" t="s">
        <v>178</v>
      </c>
      <c r="G15" s="55" t="s">
        <v>9</v>
      </c>
      <c r="H15" s="55" t="s">
        <v>857</v>
      </c>
      <c r="I15" s="55" t="s">
        <v>854</v>
      </c>
      <c r="K15" s="56" t="s">
        <v>877</v>
      </c>
      <c r="L15" s="111"/>
      <c r="M15" s="121"/>
      <c r="N15" s="4"/>
      <c r="O15" s="55" t="s">
        <v>3</v>
      </c>
      <c r="P15" s="55" t="s">
        <v>177</v>
      </c>
      <c r="Q15" s="55" t="s">
        <v>178</v>
      </c>
      <c r="R15" s="55" t="s">
        <v>178</v>
      </c>
      <c r="S15" s="55" t="s">
        <v>9</v>
      </c>
      <c r="T15" s="55" t="s">
        <v>857</v>
      </c>
      <c r="U15" s="55" t="s">
        <v>854</v>
      </c>
      <c r="W15" s="56" t="s">
        <v>877</v>
      </c>
      <c r="X15" s="111"/>
      <c r="Y15" s="4"/>
      <c r="Z15" s="4"/>
      <c r="AA15" s="55" t="s">
        <v>3</v>
      </c>
      <c r="AB15" s="55" t="s">
        <v>177</v>
      </c>
      <c r="AC15" s="55" t="s">
        <v>178</v>
      </c>
      <c r="AD15" s="55" t="s">
        <v>178</v>
      </c>
      <c r="AE15" s="55" t="s">
        <v>9</v>
      </c>
      <c r="AF15" s="55" t="s">
        <v>857</v>
      </c>
      <c r="AG15" s="55" t="s">
        <v>854</v>
      </c>
      <c r="AI15" s="56" t="s">
        <v>877</v>
      </c>
      <c r="AJ15" s="111"/>
      <c r="AK15" s="4"/>
    </row>
    <row r="16" spans="1:38" x14ac:dyDescent="0.2">
      <c r="A16" s="14">
        <v>16</v>
      </c>
      <c r="C16" s="58"/>
      <c r="D16" s="91"/>
      <c r="E16" s="91"/>
      <c r="F16" s="91"/>
      <c r="G16" s="91"/>
      <c r="H16" s="91"/>
      <c r="I16" s="92"/>
      <c r="K16" s="122">
        <v>13</v>
      </c>
      <c r="L16" s="94"/>
      <c r="M16" s="123"/>
      <c r="N16" s="4"/>
      <c r="O16" s="58"/>
      <c r="P16" s="97"/>
      <c r="Q16" s="124">
        <v>1</v>
      </c>
      <c r="R16" s="125">
        <v>2</v>
      </c>
      <c r="S16" s="125">
        <v>3</v>
      </c>
      <c r="T16" s="125">
        <v>4</v>
      </c>
      <c r="U16" s="92">
        <v>5</v>
      </c>
      <c r="W16" s="100">
        <v>18</v>
      </c>
      <c r="X16" s="94"/>
      <c r="Y16" s="49"/>
      <c r="Z16" s="4"/>
      <c r="AA16" s="58"/>
      <c r="AB16" s="125"/>
      <c r="AC16" s="125"/>
      <c r="AD16" s="125"/>
      <c r="AE16" s="125"/>
      <c r="AF16" s="125">
        <v>1</v>
      </c>
      <c r="AG16" s="92">
        <v>2</v>
      </c>
      <c r="AI16" s="100">
        <v>22</v>
      </c>
      <c r="AJ16" s="94"/>
      <c r="AK16" s="123"/>
    </row>
    <row r="17" spans="1:37" x14ac:dyDescent="0.2">
      <c r="A17" s="14">
        <v>17</v>
      </c>
      <c r="C17" s="101">
        <v>1</v>
      </c>
      <c r="D17" s="97">
        <v>2</v>
      </c>
      <c r="E17" s="97">
        <v>3</v>
      </c>
      <c r="F17" s="97">
        <v>4</v>
      </c>
      <c r="G17" s="124">
        <v>5</v>
      </c>
      <c r="H17" s="124">
        <v>6</v>
      </c>
      <c r="I17" s="92">
        <v>7</v>
      </c>
      <c r="K17" s="122">
        <v>14</v>
      </c>
      <c r="L17" s="103" t="s">
        <v>418</v>
      </c>
      <c r="M17" s="126">
        <v>5</v>
      </c>
      <c r="N17" s="4"/>
      <c r="O17" s="101">
        <v>6</v>
      </c>
      <c r="P17" s="125">
        <v>7</v>
      </c>
      <c r="Q17" s="125">
        <v>8</v>
      </c>
      <c r="R17" s="125">
        <v>9</v>
      </c>
      <c r="S17" s="125">
        <v>10</v>
      </c>
      <c r="T17" s="125">
        <v>11</v>
      </c>
      <c r="U17" s="92">
        <v>12</v>
      </c>
      <c r="W17" s="100">
        <v>19</v>
      </c>
      <c r="X17" s="103" t="s">
        <v>418</v>
      </c>
      <c r="Y17" s="106">
        <v>4</v>
      </c>
      <c r="Z17" s="4"/>
      <c r="AA17" s="101">
        <v>3</v>
      </c>
      <c r="AB17" s="125">
        <v>4</v>
      </c>
      <c r="AC17" s="125">
        <v>5</v>
      </c>
      <c r="AD17" s="125">
        <v>6</v>
      </c>
      <c r="AE17" s="125">
        <v>7</v>
      </c>
      <c r="AF17" s="125">
        <v>8</v>
      </c>
      <c r="AG17" s="92">
        <v>9</v>
      </c>
      <c r="AI17" s="100">
        <v>23</v>
      </c>
      <c r="AJ17" s="103" t="s">
        <v>418</v>
      </c>
      <c r="AK17" s="106">
        <v>4</v>
      </c>
    </row>
    <row r="18" spans="1:37" x14ac:dyDescent="0.2">
      <c r="A18" s="14">
        <v>18</v>
      </c>
      <c r="C18" s="101">
        <v>8</v>
      </c>
      <c r="D18" s="97">
        <v>9</v>
      </c>
      <c r="E18" s="97">
        <v>10</v>
      </c>
      <c r="F18" s="97">
        <v>11</v>
      </c>
      <c r="G18" s="97">
        <v>12</v>
      </c>
      <c r="H18" s="97">
        <v>13</v>
      </c>
      <c r="I18" s="92">
        <v>14</v>
      </c>
      <c r="K18" s="122">
        <v>15</v>
      </c>
      <c r="L18" s="103" t="s">
        <v>425</v>
      </c>
      <c r="M18" s="126">
        <v>4</v>
      </c>
      <c r="N18" s="4"/>
      <c r="O18" s="101">
        <v>13</v>
      </c>
      <c r="P18" s="125">
        <v>14</v>
      </c>
      <c r="Q18" s="125">
        <v>15</v>
      </c>
      <c r="R18" s="125">
        <v>16</v>
      </c>
      <c r="S18" s="125">
        <v>17</v>
      </c>
      <c r="T18" s="125">
        <v>18</v>
      </c>
      <c r="U18" s="92">
        <v>19</v>
      </c>
      <c r="W18" s="100">
        <v>20</v>
      </c>
      <c r="X18" s="103" t="s">
        <v>425</v>
      </c>
      <c r="Y18" s="106">
        <v>4</v>
      </c>
      <c r="Z18" s="4"/>
      <c r="AA18" s="101">
        <v>10</v>
      </c>
      <c r="AB18" s="125">
        <v>11</v>
      </c>
      <c r="AC18" s="125">
        <v>12</v>
      </c>
      <c r="AD18" s="125">
        <v>13</v>
      </c>
      <c r="AE18" s="125">
        <v>14</v>
      </c>
      <c r="AF18" s="125">
        <v>15</v>
      </c>
      <c r="AG18" s="92">
        <v>16</v>
      </c>
      <c r="AI18" s="100">
        <v>24</v>
      </c>
      <c r="AJ18" s="103" t="s">
        <v>425</v>
      </c>
      <c r="AK18" s="106">
        <v>5</v>
      </c>
    </row>
    <row r="19" spans="1:37" x14ac:dyDescent="0.2">
      <c r="A19" s="14">
        <v>19</v>
      </c>
      <c r="C19" s="101">
        <v>15</v>
      </c>
      <c r="D19" s="97">
        <v>16</v>
      </c>
      <c r="E19" s="97">
        <v>17</v>
      </c>
      <c r="F19" s="97">
        <v>18</v>
      </c>
      <c r="G19" s="124">
        <v>19</v>
      </c>
      <c r="H19" s="97">
        <v>20</v>
      </c>
      <c r="I19" s="92">
        <v>21</v>
      </c>
      <c r="K19" s="122">
        <v>16</v>
      </c>
      <c r="L19" s="103" t="s">
        <v>878</v>
      </c>
      <c r="M19" s="126">
        <v>30</v>
      </c>
      <c r="N19" s="4"/>
      <c r="O19" s="101">
        <v>20</v>
      </c>
      <c r="P19" s="125">
        <v>21</v>
      </c>
      <c r="Q19" s="125">
        <v>22</v>
      </c>
      <c r="R19" s="125">
        <v>23</v>
      </c>
      <c r="S19" s="125">
        <v>24</v>
      </c>
      <c r="T19" s="125">
        <v>25</v>
      </c>
      <c r="U19" s="92">
        <v>26</v>
      </c>
      <c r="W19" s="100">
        <v>21</v>
      </c>
      <c r="X19" s="103" t="s">
        <v>878</v>
      </c>
      <c r="Y19" s="106">
        <v>31</v>
      </c>
      <c r="Z19" s="4"/>
      <c r="AA19" s="101">
        <v>17</v>
      </c>
      <c r="AB19" s="125">
        <v>18</v>
      </c>
      <c r="AC19" s="125">
        <v>19</v>
      </c>
      <c r="AD19" s="125">
        <v>20</v>
      </c>
      <c r="AE19" s="125">
        <v>21</v>
      </c>
      <c r="AF19" s="97">
        <v>22</v>
      </c>
      <c r="AG19" s="92">
        <v>23</v>
      </c>
      <c r="AI19" s="100">
        <v>25</v>
      </c>
      <c r="AJ19" s="103" t="s">
        <v>878</v>
      </c>
      <c r="AK19" s="106">
        <v>30</v>
      </c>
    </row>
    <row r="20" spans="1:37" x14ac:dyDescent="0.2">
      <c r="A20" s="14">
        <v>20</v>
      </c>
      <c r="C20" s="101">
        <v>22</v>
      </c>
      <c r="D20" s="97">
        <v>23</v>
      </c>
      <c r="E20" s="97">
        <v>24</v>
      </c>
      <c r="F20" s="97">
        <v>25</v>
      </c>
      <c r="G20" s="97">
        <v>26</v>
      </c>
      <c r="H20" s="97">
        <v>27</v>
      </c>
      <c r="I20" s="92">
        <v>28</v>
      </c>
      <c r="K20" s="122">
        <v>17</v>
      </c>
      <c r="L20" s="111"/>
      <c r="M20" s="127"/>
      <c r="N20" s="4"/>
      <c r="O20" s="101">
        <v>27</v>
      </c>
      <c r="P20" s="125">
        <v>28</v>
      </c>
      <c r="Q20" s="125">
        <v>29</v>
      </c>
      <c r="R20" s="125">
        <v>30</v>
      </c>
      <c r="S20" s="125">
        <v>31</v>
      </c>
      <c r="T20" s="125"/>
      <c r="U20" s="92"/>
      <c r="W20" s="100">
        <v>22</v>
      </c>
      <c r="X20" s="111"/>
      <c r="Y20" s="128"/>
      <c r="Z20" s="4"/>
      <c r="AA20" s="101">
        <v>24</v>
      </c>
      <c r="AB20" s="125">
        <v>25</v>
      </c>
      <c r="AC20" s="125">
        <v>26</v>
      </c>
      <c r="AD20" s="125">
        <v>27</v>
      </c>
      <c r="AE20" s="125">
        <v>28</v>
      </c>
      <c r="AF20" s="125">
        <v>29</v>
      </c>
      <c r="AG20" s="92">
        <v>30</v>
      </c>
      <c r="AI20" s="100">
        <v>26</v>
      </c>
      <c r="AJ20" s="111"/>
      <c r="AK20" s="112"/>
    </row>
    <row r="21" spans="1:37" x14ac:dyDescent="0.2">
      <c r="A21" s="14">
        <v>21</v>
      </c>
      <c r="C21" s="101">
        <v>29</v>
      </c>
      <c r="D21" s="91">
        <v>30</v>
      </c>
      <c r="E21" s="113"/>
      <c r="F21" s="113"/>
      <c r="G21" s="113"/>
      <c r="H21" s="113"/>
      <c r="I21" s="114"/>
      <c r="K21" s="122">
        <v>18</v>
      </c>
      <c r="L21" s="111"/>
      <c r="M21" s="121"/>
      <c r="N21" s="4"/>
      <c r="O21" s="101"/>
      <c r="P21" s="125"/>
      <c r="Q21" s="129"/>
      <c r="R21" s="129"/>
      <c r="S21" s="129"/>
      <c r="T21" s="129"/>
      <c r="U21" s="114"/>
      <c r="W21" s="100"/>
      <c r="X21" s="111"/>
      <c r="Y21" s="4"/>
      <c r="Z21" s="4"/>
      <c r="AA21" s="101"/>
      <c r="AB21" s="125"/>
      <c r="AC21" s="129"/>
      <c r="AD21" s="129"/>
      <c r="AE21" s="129"/>
      <c r="AF21" s="129"/>
      <c r="AG21" s="114"/>
      <c r="AI21" s="100"/>
      <c r="AJ21" s="111"/>
      <c r="AK21" s="4"/>
    </row>
    <row r="22" spans="1:37" x14ac:dyDescent="0.2">
      <c r="A22" s="14">
        <v>22</v>
      </c>
      <c r="C22" s="88"/>
      <c r="D22" s="88"/>
      <c r="E22" s="88"/>
      <c r="F22" s="88"/>
      <c r="G22" s="88"/>
      <c r="H22" s="88"/>
      <c r="I22" s="88"/>
      <c r="K22" s="117"/>
      <c r="L22" s="111"/>
      <c r="M22" s="121"/>
      <c r="N22" s="4"/>
      <c r="O22" s="88"/>
      <c r="P22" s="88"/>
      <c r="Q22" s="88"/>
      <c r="R22" s="88"/>
      <c r="S22" s="88"/>
      <c r="T22" s="88"/>
      <c r="U22" s="88"/>
      <c r="W22" s="119"/>
      <c r="X22" s="111"/>
      <c r="Y22" s="4"/>
      <c r="Z22" s="4"/>
      <c r="AA22" s="4"/>
      <c r="AB22" s="4"/>
      <c r="AC22" s="4"/>
      <c r="AD22" s="4"/>
      <c r="AE22" s="4"/>
      <c r="AF22" s="4"/>
      <c r="AG22" s="4"/>
      <c r="AI22" s="120"/>
      <c r="AJ22" s="111"/>
      <c r="AK22" s="4"/>
    </row>
    <row r="23" spans="1:37" x14ac:dyDescent="0.2">
      <c r="A23" s="14">
        <v>23</v>
      </c>
      <c r="C23" s="87" t="s">
        <v>882</v>
      </c>
      <c r="D23" s="88"/>
      <c r="E23" s="88"/>
      <c r="F23" s="88"/>
      <c r="G23" s="88"/>
      <c r="H23" s="88"/>
      <c r="I23" s="88"/>
      <c r="K23" s="117"/>
      <c r="L23" s="111"/>
      <c r="M23" s="121"/>
      <c r="N23" s="4"/>
      <c r="O23" s="87" t="s">
        <v>883</v>
      </c>
      <c r="P23" s="88"/>
      <c r="Q23" s="88"/>
      <c r="R23" s="88"/>
      <c r="S23" s="88"/>
      <c r="T23" s="88"/>
      <c r="U23" s="88"/>
      <c r="W23" s="119"/>
      <c r="X23" s="111"/>
      <c r="Y23" s="4"/>
      <c r="Z23" s="4"/>
      <c r="AA23" s="87" t="s">
        <v>884</v>
      </c>
      <c r="AB23" s="88"/>
      <c r="AC23" s="88"/>
      <c r="AD23" s="88"/>
      <c r="AE23" s="88"/>
      <c r="AF23" s="88"/>
      <c r="AG23" s="88"/>
      <c r="AI23" s="120"/>
      <c r="AJ23" s="111"/>
      <c r="AK23" s="4"/>
    </row>
    <row r="24" spans="1:37" x14ac:dyDescent="0.2">
      <c r="A24" s="14">
        <v>24</v>
      </c>
      <c r="C24" s="55" t="s">
        <v>3</v>
      </c>
      <c r="D24" s="55" t="s">
        <v>177</v>
      </c>
      <c r="E24" s="55" t="s">
        <v>178</v>
      </c>
      <c r="F24" s="55" t="s">
        <v>178</v>
      </c>
      <c r="G24" s="55" t="s">
        <v>9</v>
      </c>
      <c r="H24" s="55" t="s">
        <v>857</v>
      </c>
      <c r="I24" s="55" t="s">
        <v>854</v>
      </c>
      <c r="K24" s="56" t="s">
        <v>877</v>
      </c>
      <c r="L24" s="111"/>
      <c r="M24" s="121"/>
      <c r="N24" s="4"/>
      <c r="O24" s="55" t="s">
        <v>3</v>
      </c>
      <c r="P24" s="55" t="s">
        <v>177</v>
      </c>
      <c r="Q24" s="55" t="s">
        <v>178</v>
      </c>
      <c r="R24" s="55" t="s">
        <v>178</v>
      </c>
      <c r="S24" s="55" t="s">
        <v>9</v>
      </c>
      <c r="T24" s="55" t="s">
        <v>857</v>
      </c>
      <c r="U24" s="55" t="s">
        <v>854</v>
      </c>
      <c r="W24" s="56" t="s">
        <v>877</v>
      </c>
      <c r="X24" s="111"/>
      <c r="Y24" s="4"/>
      <c r="Z24" s="4"/>
      <c r="AA24" s="55" t="s">
        <v>3</v>
      </c>
      <c r="AB24" s="55" t="s">
        <v>177</v>
      </c>
      <c r="AC24" s="55" t="s">
        <v>178</v>
      </c>
      <c r="AD24" s="55" t="s">
        <v>178</v>
      </c>
      <c r="AE24" s="55" t="s">
        <v>9</v>
      </c>
      <c r="AF24" s="55" t="s">
        <v>857</v>
      </c>
      <c r="AG24" s="55" t="s">
        <v>854</v>
      </c>
      <c r="AI24" s="56" t="s">
        <v>877</v>
      </c>
      <c r="AJ24" s="111"/>
      <c r="AK24" s="4"/>
    </row>
    <row r="25" spans="1:37" x14ac:dyDescent="0.2">
      <c r="A25" s="14">
        <v>25</v>
      </c>
      <c r="C25" s="101">
        <v>1</v>
      </c>
      <c r="D25" s="130">
        <v>2</v>
      </c>
      <c r="E25" s="131">
        <v>3</v>
      </c>
      <c r="F25" s="131">
        <v>4</v>
      </c>
      <c r="G25" s="124">
        <v>5</v>
      </c>
      <c r="H25" s="131">
        <v>6</v>
      </c>
      <c r="I25" s="92">
        <v>7</v>
      </c>
      <c r="K25" s="122">
        <v>27</v>
      </c>
      <c r="L25" s="94"/>
      <c r="M25" s="123"/>
      <c r="N25" s="4"/>
      <c r="O25" s="58"/>
      <c r="P25" s="125"/>
      <c r="Q25" s="125"/>
      <c r="R25" s="125">
        <v>1</v>
      </c>
      <c r="S25" s="125">
        <v>2</v>
      </c>
      <c r="T25" s="125">
        <v>3</v>
      </c>
      <c r="U25" s="92">
        <v>4</v>
      </c>
      <c r="W25" s="100">
        <v>31</v>
      </c>
      <c r="X25" s="94"/>
      <c r="Y25" s="49"/>
      <c r="Z25" s="4"/>
      <c r="AA25" s="58"/>
      <c r="AB25" s="125"/>
      <c r="AC25" s="125"/>
      <c r="AD25" s="125"/>
      <c r="AE25" s="125"/>
      <c r="AF25" s="125"/>
      <c r="AG25" s="92">
        <v>1</v>
      </c>
      <c r="AI25" s="100">
        <v>35</v>
      </c>
      <c r="AJ25" s="94"/>
      <c r="AK25" s="49"/>
    </row>
    <row r="26" spans="1:37" x14ac:dyDescent="0.2">
      <c r="A26" s="14">
        <v>26</v>
      </c>
      <c r="C26" s="101">
        <v>8</v>
      </c>
      <c r="D26" s="130">
        <v>9</v>
      </c>
      <c r="E26" s="131">
        <v>10</v>
      </c>
      <c r="F26" s="131">
        <v>11</v>
      </c>
      <c r="G26" s="130">
        <v>12</v>
      </c>
      <c r="H26" s="130">
        <v>13</v>
      </c>
      <c r="I26" s="92">
        <v>14</v>
      </c>
      <c r="K26" s="122">
        <v>28</v>
      </c>
      <c r="L26" s="103" t="s">
        <v>418</v>
      </c>
      <c r="M26" s="126">
        <v>5</v>
      </c>
      <c r="N26" s="4"/>
      <c r="O26" s="101">
        <v>5</v>
      </c>
      <c r="P26" s="125">
        <v>6</v>
      </c>
      <c r="Q26" s="125">
        <v>7</v>
      </c>
      <c r="R26" s="125">
        <v>8</v>
      </c>
      <c r="S26" s="125">
        <v>9</v>
      </c>
      <c r="T26" s="125">
        <v>10</v>
      </c>
      <c r="U26" s="92">
        <v>11</v>
      </c>
      <c r="W26" s="100">
        <v>32</v>
      </c>
      <c r="X26" s="103" t="s">
        <v>418</v>
      </c>
      <c r="Y26" s="106">
        <v>4</v>
      </c>
      <c r="Z26" s="4"/>
      <c r="AA26" s="101">
        <v>2</v>
      </c>
      <c r="AB26" s="125">
        <v>3</v>
      </c>
      <c r="AC26" s="125">
        <v>4</v>
      </c>
      <c r="AD26" s="125">
        <v>5</v>
      </c>
      <c r="AE26" s="125">
        <v>6</v>
      </c>
      <c r="AF26" s="125">
        <v>7</v>
      </c>
      <c r="AG26" s="92">
        <v>8</v>
      </c>
      <c r="AI26" s="100">
        <v>36</v>
      </c>
      <c r="AJ26" s="103" t="s">
        <v>418</v>
      </c>
      <c r="AK26" s="106">
        <v>5</v>
      </c>
    </row>
    <row r="27" spans="1:37" x14ac:dyDescent="0.2">
      <c r="A27" s="14">
        <v>27</v>
      </c>
      <c r="C27" s="101">
        <v>15</v>
      </c>
      <c r="D27" s="130">
        <v>16</v>
      </c>
      <c r="E27" s="130">
        <v>17</v>
      </c>
      <c r="F27" s="130">
        <v>18</v>
      </c>
      <c r="G27" s="130">
        <v>19</v>
      </c>
      <c r="H27" s="130">
        <v>20</v>
      </c>
      <c r="I27" s="92">
        <v>21</v>
      </c>
      <c r="K27" s="122">
        <v>29</v>
      </c>
      <c r="L27" s="103" t="s">
        <v>425</v>
      </c>
      <c r="M27" s="126">
        <v>4</v>
      </c>
      <c r="N27" s="4"/>
      <c r="O27" s="101">
        <v>12</v>
      </c>
      <c r="P27" s="125">
        <v>13</v>
      </c>
      <c r="Q27" s="125">
        <v>14</v>
      </c>
      <c r="R27" s="125">
        <v>15</v>
      </c>
      <c r="S27" s="125">
        <v>16</v>
      </c>
      <c r="T27" s="125">
        <v>17</v>
      </c>
      <c r="U27" s="92">
        <v>18</v>
      </c>
      <c r="W27" s="100">
        <v>33</v>
      </c>
      <c r="X27" s="103" t="s">
        <v>425</v>
      </c>
      <c r="Y27" s="106">
        <v>4</v>
      </c>
      <c r="Z27" s="4"/>
      <c r="AA27" s="101">
        <v>9</v>
      </c>
      <c r="AB27" s="125">
        <v>10</v>
      </c>
      <c r="AC27" s="125">
        <v>11</v>
      </c>
      <c r="AD27" s="125">
        <v>12</v>
      </c>
      <c r="AE27" s="125">
        <v>13</v>
      </c>
      <c r="AF27" s="125">
        <v>14</v>
      </c>
      <c r="AG27" s="92">
        <v>15</v>
      </c>
      <c r="AI27" s="100">
        <v>37</v>
      </c>
      <c r="AJ27" s="103" t="s">
        <v>425</v>
      </c>
      <c r="AK27" s="106">
        <v>5</v>
      </c>
    </row>
    <row r="28" spans="1:37" x14ac:dyDescent="0.2">
      <c r="A28" s="14">
        <v>28</v>
      </c>
      <c r="C28" s="101">
        <v>22</v>
      </c>
      <c r="D28" s="130">
        <v>23</v>
      </c>
      <c r="E28" s="110">
        <v>24</v>
      </c>
      <c r="F28" s="130">
        <v>25</v>
      </c>
      <c r="G28" s="130">
        <v>26</v>
      </c>
      <c r="H28" s="130">
        <v>27</v>
      </c>
      <c r="I28" s="92">
        <v>28</v>
      </c>
      <c r="K28" s="122">
        <v>30</v>
      </c>
      <c r="L28" s="103" t="s">
        <v>878</v>
      </c>
      <c r="M28" s="126">
        <v>31</v>
      </c>
      <c r="N28" s="4"/>
      <c r="O28" s="101">
        <v>19</v>
      </c>
      <c r="P28" s="125">
        <v>20</v>
      </c>
      <c r="Q28" s="125">
        <v>21</v>
      </c>
      <c r="R28" s="125">
        <v>22</v>
      </c>
      <c r="S28" s="125">
        <v>23</v>
      </c>
      <c r="T28" s="125">
        <v>24</v>
      </c>
      <c r="U28" s="92">
        <v>25</v>
      </c>
      <c r="W28" s="100">
        <v>34</v>
      </c>
      <c r="X28" s="103" t="s">
        <v>878</v>
      </c>
      <c r="Y28" s="106">
        <v>31</v>
      </c>
      <c r="Z28" s="4"/>
      <c r="AA28" s="101">
        <v>16</v>
      </c>
      <c r="AB28" s="125">
        <v>17</v>
      </c>
      <c r="AC28" s="125">
        <v>18</v>
      </c>
      <c r="AD28" s="125">
        <v>19</v>
      </c>
      <c r="AE28" s="125">
        <v>20</v>
      </c>
      <c r="AF28" s="125">
        <v>21</v>
      </c>
      <c r="AG28" s="92">
        <v>22</v>
      </c>
      <c r="AI28" s="100">
        <v>38</v>
      </c>
      <c r="AJ28" s="103" t="s">
        <v>878</v>
      </c>
      <c r="AK28" s="106">
        <v>30</v>
      </c>
    </row>
    <row r="29" spans="1:37" x14ac:dyDescent="0.2">
      <c r="A29" s="14">
        <v>29</v>
      </c>
      <c r="C29" s="101">
        <v>29</v>
      </c>
      <c r="D29" s="102">
        <v>30</v>
      </c>
      <c r="E29" s="130">
        <v>31</v>
      </c>
      <c r="F29" s="130"/>
      <c r="G29" s="130"/>
      <c r="H29" s="130"/>
      <c r="I29" s="92"/>
      <c r="K29" s="122">
        <v>31</v>
      </c>
      <c r="L29" s="111"/>
      <c r="M29" s="127"/>
      <c r="N29" s="4"/>
      <c r="O29" s="101">
        <v>26</v>
      </c>
      <c r="P29" s="125">
        <v>27</v>
      </c>
      <c r="Q29" s="125">
        <v>28</v>
      </c>
      <c r="R29" s="125">
        <v>29</v>
      </c>
      <c r="S29" s="125">
        <v>30</v>
      </c>
      <c r="T29" s="125">
        <v>31</v>
      </c>
      <c r="U29" s="92"/>
      <c r="W29" s="100">
        <v>35</v>
      </c>
      <c r="X29" s="111"/>
      <c r="Y29" s="112"/>
      <c r="Z29" s="4"/>
      <c r="AA29" s="101">
        <v>23</v>
      </c>
      <c r="AB29" s="125">
        <v>24</v>
      </c>
      <c r="AC29" s="125">
        <v>25</v>
      </c>
      <c r="AD29" s="125">
        <v>26</v>
      </c>
      <c r="AE29" s="125">
        <v>27</v>
      </c>
      <c r="AF29" s="125">
        <v>28</v>
      </c>
      <c r="AG29" s="92">
        <v>29</v>
      </c>
      <c r="AI29" s="100">
        <v>39</v>
      </c>
      <c r="AJ29" s="111"/>
      <c r="AK29" s="112"/>
    </row>
    <row r="30" spans="1:37" x14ac:dyDescent="0.2">
      <c r="A30" s="14">
        <v>30</v>
      </c>
      <c r="C30" s="101"/>
      <c r="D30" s="130"/>
      <c r="E30" s="132"/>
      <c r="F30" s="132"/>
      <c r="G30" s="132"/>
      <c r="H30" s="132"/>
      <c r="I30" s="114"/>
      <c r="K30" s="122"/>
      <c r="L30" s="111"/>
      <c r="M30" s="121"/>
      <c r="N30" s="4"/>
      <c r="O30" s="101"/>
      <c r="P30" s="125"/>
      <c r="Q30" s="129"/>
      <c r="R30" s="129"/>
      <c r="S30" s="129"/>
      <c r="T30" s="129"/>
      <c r="U30" s="114"/>
      <c r="W30" s="133"/>
      <c r="X30" s="111"/>
      <c r="Y30" s="4"/>
      <c r="Z30" s="4"/>
      <c r="AA30" s="101">
        <v>30</v>
      </c>
      <c r="AB30" s="125"/>
      <c r="AC30" s="129"/>
      <c r="AD30" s="129"/>
      <c r="AE30" s="129"/>
      <c r="AF30" s="129"/>
      <c r="AG30" s="114"/>
      <c r="AI30" s="100">
        <v>40</v>
      </c>
      <c r="AJ30" s="111"/>
      <c r="AK30" s="4"/>
    </row>
    <row r="31" spans="1:37" x14ac:dyDescent="0.2">
      <c r="A31" s="14">
        <v>31</v>
      </c>
      <c r="C31" s="88"/>
      <c r="D31" s="88"/>
      <c r="E31" s="88"/>
      <c r="F31" s="88"/>
      <c r="G31" s="88"/>
      <c r="H31" s="88"/>
      <c r="I31" s="88"/>
      <c r="K31" s="117"/>
      <c r="L31" s="111"/>
      <c r="M31" s="121"/>
      <c r="N31" s="4"/>
      <c r="O31" s="88"/>
      <c r="P31" s="88"/>
      <c r="Q31" s="88"/>
      <c r="R31" s="88"/>
      <c r="S31" s="88"/>
      <c r="T31" s="88"/>
      <c r="U31" s="88"/>
      <c r="W31" s="119"/>
      <c r="X31" s="111"/>
      <c r="Y31" s="4"/>
      <c r="Z31" s="4"/>
      <c r="AA31" s="4"/>
      <c r="AB31" s="4"/>
      <c r="AC31" s="4"/>
      <c r="AD31" s="4"/>
      <c r="AE31" s="4"/>
      <c r="AF31" s="4"/>
      <c r="AG31" s="4"/>
      <c r="AI31" s="120"/>
      <c r="AJ31" s="111"/>
      <c r="AK31" s="4"/>
    </row>
    <row r="32" spans="1:37" x14ac:dyDescent="0.2">
      <c r="A32" s="14">
        <v>32</v>
      </c>
      <c r="C32" s="87" t="s">
        <v>885</v>
      </c>
      <c r="D32" s="88"/>
      <c r="E32" s="88"/>
      <c r="F32" s="88"/>
      <c r="G32" s="88"/>
      <c r="H32" s="88"/>
      <c r="I32" s="88"/>
      <c r="K32" s="117"/>
      <c r="L32" s="111"/>
      <c r="M32" s="121"/>
      <c r="N32" s="4"/>
      <c r="O32" s="87" t="s">
        <v>886</v>
      </c>
      <c r="P32" s="88"/>
      <c r="Q32" s="88"/>
      <c r="R32" s="88"/>
      <c r="S32" s="88"/>
      <c r="T32" s="88"/>
      <c r="U32" s="88"/>
      <c r="W32" s="119"/>
      <c r="X32" s="111"/>
      <c r="Y32" s="4"/>
      <c r="Z32" s="4"/>
      <c r="AA32" s="87" t="s">
        <v>887</v>
      </c>
      <c r="AB32" s="88"/>
      <c r="AC32" s="88"/>
      <c r="AD32" s="88"/>
      <c r="AE32" s="88"/>
      <c r="AF32" s="88"/>
      <c r="AG32" s="88"/>
      <c r="AI32" s="120"/>
      <c r="AJ32" s="111"/>
      <c r="AK32" s="4"/>
    </row>
    <row r="33" spans="1:37" x14ac:dyDescent="0.2">
      <c r="A33" s="14">
        <v>33</v>
      </c>
      <c r="C33" s="55" t="s">
        <v>3</v>
      </c>
      <c r="D33" s="55" t="s">
        <v>177</v>
      </c>
      <c r="E33" s="55" t="s">
        <v>178</v>
      </c>
      <c r="F33" s="55" t="s">
        <v>178</v>
      </c>
      <c r="G33" s="55" t="s">
        <v>9</v>
      </c>
      <c r="H33" s="55" t="s">
        <v>857</v>
      </c>
      <c r="I33" s="55" t="s">
        <v>854</v>
      </c>
      <c r="K33" s="56" t="s">
        <v>877</v>
      </c>
      <c r="L33" s="111"/>
      <c r="M33" s="121"/>
      <c r="N33" s="4"/>
      <c r="O33" s="55" t="s">
        <v>3</v>
      </c>
      <c r="P33" s="55" t="s">
        <v>177</v>
      </c>
      <c r="Q33" s="55" t="s">
        <v>178</v>
      </c>
      <c r="R33" s="55" t="s">
        <v>178</v>
      </c>
      <c r="S33" s="55" t="s">
        <v>9</v>
      </c>
      <c r="T33" s="55" t="s">
        <v>857</v>
      </c>
      <c r="U33" s="55" t="s">
        <v>854</v>
      </c>
      <c r="W33" s="56" t="s">
        <v>877</v>
      </c>
      <c r="X33" s="111"/>
      <c r="Y33" s="4"/>
      <c r="Z33" s="4"/>
      <c r="AA33" s="55" t="s">
        <v>3</v>
      </c>
      <c r="AB33" s="55" t="s">
        <v>177</v>
      </c>
      <c r="AC33" s="55" t="s">
        <v>178</v>
      </c>
      <c r="AD33" s="55" t="s">
        <v>178</v>
      </c>
      <c r="AE33" s="55" t="s">
        <v>9</v>
      </c>
      <c r="AF33" s="55" t="s">
        <v>857</v>
      </c>
      <c r="AG33" s="55" t="s">
        <v>854</v>
      </c>
      <c r="AI33" s="56" t="s">
        <v>877</v>
      </c>
      <c r="AJ33" s="111"/>
      <c r="AK33" s="4"/>
    </row>
    <row r="34" spans="1:37" x14ac:dyDescent="0.2">
      <c r="A34" s="14">
        <v>34</v>
      </c>
      <c r="C34" s="58"/>
      <c r="D34" s="125">
        <v>1</v>
      </c>
      <c r="E34" s="125">
        <v>2</v>
      </c>
      <c r="F34" s="125">
        <v>3</v>
      </c>
      <c r="G34" s="125">
        <v>4</v>
      </c>
      <c r="H34" s="125">
        <v>5</v>
      </c>
      <c r="I34" s="92">
        <v>6</v>
      </c>
      <c r="K34" s="122">
        <v>40</v>
      </c>
      <c r="L34" s="94"/>
      <c r="M34" s="123"/>
      <c r="N34" s="4"/>
      <c r="O34" s="58"/>
      <c r="P34" s="125"/>
      <c r="Q34" s="125"/>
      <c r="R34" s="125"/>
      <c r="S34" s="125">
        <v>1</v>
      </c>
      <c r="T34" s="125">
        <v>2</v>
      </c>
      <c r="U34" s="92">
        <v>3</v>
      </c>
      <c r="W34" s="100">
        <v>44</v>
      </c>
      <c r="X34" s="94"/>
      <c r="Y34" s="49"/>
      <c r="Z34" s="4"/>
      <c r="AA34" s="58"/>
      <c r="AB34" s="125"/>
      <c r="AC34" s="125"/>
      <c r="AD34" s="125"/>
      <c r="AE34" s="125"/>
      <c r="AF34" s="125"/>
      <c r="AG34" s="92">
        <v>1</v>
      </c>
      <c r="AI34" s="100">
        <v>48</v>
      </c>
      <c r="AJ34" s="94"/>
      <c r="AK34" s="49"/>
    </row>
    <row r="35" spans="1:37" x14ac:dyDescent="0.2">
      <c r="A35" s="14">
        <v>35</v>
      </c>
      <c r="C35" s="101">
        <v>7</v>
      </c>
      <c r="D35" s="125">
        <v>8</v>
      </c>
      <c r="E35" s="125">
        <v>9</v>
      </c>
      <c r="F35" s="125">
        <v>10</v>
      </c>
      <c r="G35" s="125">
        <v>11</v>
      </c>
      <c r="H35" s="124">
        <v>12</v>
      </c>
      <c r="I35" s="92">
        <v>13</v>
      </c>
      <c r="K35" s="122">
        <v>41</v>
      </c>
      <c r="L35" s="103" t="s">
        <v>418</v>
      </c>
      <c r="M35" s="126">
        <v>4</v>
      </c>
      <c r="N35" s="4"/>
      <c r="O35" s="101">
        <v>4</v>
      </c>
      <c r="P35" s="125">
        <v>5</v>
      </c>
      <c r="Q35" s="125">
        <v>6</v>
      </c>
      <c r="R35" s="125">
        <v>7</v>
      </c>
      <c r="S35" s="125">
        <v>8</v>
      </c>
      <c r="T35" s="125">
        <v>9</v>
      </c>
      <c r="U35" s="92">
        <v>10</v>
      </c>
      <c r="W35" s="100">
        <v>45</v>
      </c>
      <c r="X35" s="103" t="s">
        <v>418</v>
      </c>
      <c r="Y35" s="106">
        <v>4</v>
      </c>
      <c r="Z35" s="4"/>
      <c r="AA35" s="101">
        <v>2</v>
      </c>
      <c r="AB35" s="125">
        <v>3</v>
      </c>
      <c r="AC35" s="125">
        <v>4</v>
      </c>
      <c r="AD35" s="125">
        <v>5</v>
      </c>
      <c r="AE35" s="125">
        <v>6</v>
      </c>
      <c r="AF35" s="125">
        <v>7</v>
      </c>
      <c r="AG35" s="92">
        <v>8</v>
      </c>
      <c r="AI35" s="100">
        <v>49</v>
      </c>
      <c r="AJ35" s="103" t="s">
        <v>418</v>
      </c>
      <c r="AK35" s="106">
        <v>5</v>
      </c>
    </row>
    <row r="36" spans="1:37" x14ac:dyDescent="0.2">
      <c r="A36" s="14">
        <v>36</v>
      </c>
      <c r="C36" s="101">
        <v>14</v>
      </c>
      <c r="D36" s="125">
        <v>15</v>
      </c>
      <c r="E36" s="125">
        <v>16</v>
      </c>
      <c r="F36" s="97">
        <v>17</v>
      </c>
      <c r="G36" s="97">
        <v>18</v>
      </c>
      <c r="H36" s="125">
        <v>19</v>
      </c>
      <c r="I36" s="92">
        <v>20</v>
      </c>
      <c r="K36" s="122">
        <v>42</v>
      </c>
      <c r="L36" s="103" t="s">
        <v>425</v>
      </c>
      <c r="M36" s="126">
        <v>4</v>
      </c>
      <c r="N36" s="4"/>
      <c r="O36" s="101">
        <v>11</v>
      </c>
      <c r="P36" s="125">
        <v>12</v>
      </c>
      <c r="Q36" s="125">
        <v>13</v>
      </c>
      <c r="R36" s="125">
        <v>14</v>
      </c>
      <c r="S36" s="125">
        <v>15</v>
      </c>
      <c r="T36" s="125">
        <v>16</v>
      </c>
      <c r="U36" s="92">
        <v>17</v>
      </c>
      <c r="W36" s="100">
        <v>46</v>
      </c>
      <c r="X36" s="103" t="s">
        <v>425</v>
      </c>
      <c r="Y36" s="106">
        <v>4</v>
      </c>
      <c r="Z36" s="4"/>
      <c r="AA36" s="101">
        <v>9</v>
      </c>
      <c r="AB36" s="125">
        <v>10</v>
      </c>
      <c r="AC36" s="125">
        <v>11</v>
      </c>
      <c r="AD36" s="125">
        <v>12</v>
      </c>
      <c r="AE36" s="125">
        <v>13</v>
      </c>
      <c r="AF36" s="125">
        <v>14</v>
      </c>
      <c r="AG36" s="92">
        <v>15</v>
      </c>
      <c r="AI36" s="100">
        <v>50</v>
      </c>
      <c r="AJ36" s="103" t="s">
        <v>425</v>
      </c>
      <c r="AK36" s="106">
        <v>5</v>
      </c>
    </row>
    <row r="37" spans="1:37" x14ac:dyDescent="0.2">
      <c r="A37" s="14">
        <v>37</v>
      </c>
      <c r="C37" s="101">
        <v>21</v>
      </c>
      <c r="D37" s="125">
        <v>22</v>
      </c>
      <c r="E37" s="125">
        <v>23</v>
      </c>
      <c r="F37" s="125">
        <v>24</v>
      </c>
      <c r="G37" s="125">
        <v>25</v>
      </c>
      <c r="H37" s="125">
        <v>26</v>
      </c>
      <c r="I37" s="92">
        <v>27</v>
      </c>
      <c r="K37" s="122">
        <v>43</v>
      </c>
      <c r="L37" s="103" t="s">
        <v>878</v>
      </c>
      <c r="M37" s="126">
        <v>31</v>
      </c>
      <c r="N37" s="4"/>
      <c r="O37" s="101">
        <v>18</v>
      </c>
      <c r="P37" s="125">
        <v>19</v>
      </c>
      <c r="Q37" s="125">
        <v>20</v>
      </c>
      <c r="R37" s="125">
        <v>21</v>
      </c>
      <c r="S37" s="125">
        <v>22</v>
      </c>
      <c r="T37" s="125">
        <v>23</v>
      </c>
      <c r="U37" s="92">
        <v>24</v>
      </c>
      <c r="W37" s="100">
        <v>47</v>
      </c>
      <c r="X37" s="103" t="s">
        <v>878</v>
      </c>
      <c r="Y37" s="106">
        <v>30</v>
      </c>
      <c r="Z37" s="4"/>
      <c r="AA37" s="101">
        <v>16</v>
      </c>
      <c r="AB37" s="125">
        <v>17</v>
      </c>
      <c r="AC37" s="125">
        <v>18</v>
      </c>
      <c r="AD37" s="125">
        <v>19</v>
      </c>
      <c r="AE37" s="125">
        <v>20</v>
      </c>
      <c r="AF37" s="125">
        <v>21</v>
      </c>
      <c r="AG37" s="92">
        <v>22</v>
      </c>
      <c r="AI37" s="100">
        <v>51</v>
      </c>
      <c r="AJ37" s="103" t="s">
        <v>878</v>
      </c>
      <c r="AK37" s="106">
        <v>31</v>
      </c>
    </row>
    <row r="38" spans="1:37" x14ac:dyDescent="0.2">
      <c r="A38" s="14">
        <v>38</v>
      </c>
      <c r="C38" s="101">
        <v>28</v>
      </c>
      <c r="D38" s="130">
        <v>29</v>
      </c>
      <c r="E38" s="125">
        <v>30</v>
      </c>
      <c r="F38" s="125">
        <v>31</v>
      </c>
      <c r="G38" s="125"/>
      <c r="H38" s="125"/>
      <c r="I38" s="92"/>
      <c r="K38" s="122">
        <v>44</v>
      </c>
      <c r="L38" s="4"/>
      <c r="M38" s="112"/>
      <c r="N38" s="4"/>
      <c r="O38" s="101">
        <v>25</v>
      </c>
      <c r="P38" s="125">
        <v>26</v>
      </c>
      <c r="Q38" s="125">
        <v>27</v>
      </c>
      <c r="R38" s="125">
        <v>28</v>
      </c>
      <c r="S38" s="125">
        <v>29</v>
      </c>
      <c r="T38" s="125">
        <v>30</v>
      </c>
      <c r="U38" s="92"/>
      <c r="W38" s="100">
        <v>48</v>
      </c>
      <c r="X38" s="111"/>
      <c r="Y38" s="112"/>
      <c r="Z38" s="4"/>
      <c r="AA38" s="101">
        <v>23</v>
      </c>
      <c r="AB38" s="134">
        <v>24</v>
      </c>
      <c r="AC38" s="110">
        <v>25</v>
      </c>
      <c r="AD38" s="125">
        <v>26</v>
      </c>
      <c r="AE38" s="125">
        <v>27</v>
      </c>
      <c r="AF38" s="125">
        <v>28</v>
      </c>
      <c r="AG38" s="92">
        <v>29</v>
      </c>
      <c r="AI38" s="100">
        <v>52</v>
      </c>
      <c r="AJ38" s="111"/>
      <c r="AK38" s="4"/>
    </row>
    <row r="39" spans="1:37" x14ac:dyDescent="0.2">
      <c r="A39" s="14">
        <v>39</v>
      </c>
      <c r="C39" s="101"/>
      <c r="D39" s="125"/>
      <c r="E39" s="125"/>
      <c r="F39" s="129"/>
      <c r="G39" s="129"/>
      <c r="H39" s="129"/>
      <c r="I39" s="114"/>
      <c r="K39" s="122"/>
      <c r="L39" s="4"/>
      <c r="M39" s="4"/>
      <c r="N39" s="4"/>
      <c r="O39" s="101"/>
      <c r="P39" s="125"/>
      <c r="Q39" s="129"/>
      <c r="R39" s="129"/>
      <c r="S39" s="129"/>
      <c r="T39" s="129"/>
      <c r="U39" s="114"/>
      <c r="V39" s="133"/>
      <c r="W39" s="100"/>
      <c r="X39" s="4"/>
      <c r="Y39" s="4"/>
      <c r="Z39" s="4"/>
      <c r="AA39" s="101">
        <v>30</v>
      </c>
      <c r="AB39" s="125">
        <v>31</v>
      </c>
      <c r="AC39" s="129"/>
      <c r="AD39" s="129"/>
      <c r="AE39" s="129"/>
      <c r="AF39" s="129"/>
      <c r="AG39" s="114"/>
      <c r="AI39" s="116"/>
      <c r="AJ39" s="4"/>
      <c r="AK39" s="4"/>
    </row>
    <row r="40" spans="1:37" x14ac:dyDescent="0.2">
      <c r="A40" s="14">
        <v>40</v>
      </c>
      <c r="C40" s="135"/>
      <c r="H40" s="4"/>
      <c r="I40" s="4"/>
      <c r="J40" s="4"/>
      <c r="K40" s="4"/>
      <c r="L40" s="4"/>
      <c r="M40" s="4"/>
      <c r="N40" s="4"/>
      <c r="O40" s="4"/>
      <c r="P40" s="4"/>
      <c r="Q40" s="4"/>
      <c r="S40" s="4"/>
      <c r="T40" s="4"/>
      <c r="U40" s="4"/>
      <c r="V40" s="4"/>
      <c r="W40" s="4"/>
      <c r="Z40" s="4"/>
      <c r="AA40" s="88"/>
      <c r="AB40" s="88"/>
      <c r="AC40" s="88"/>
      <c r="AD40" s="88"/>
      <c r="AE40" s="136"/>
      <c r="AF40" s="137"/>
      <c r="AG40" s="137"/>
      <c r="AH40" s="138"/>
      <c r="AI40" s="139"/>
      <c r="AJ40" s="84"/>
    </row>
    <row r="41" spans="1:37" ht="12.75" x14ac:dyDescent="0.2">
      <c r="A41" s="14">
        <v>41</v>
      </c>
      <c r="C41" s="140"/>
      <c r="D41" s="140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2" t="s">
        <v>873</v>
      </c>
      <c r="Y41" s="141"/>
      <c r="Z41" s="140"/>
      <c r="AA41" s="88"/>
      <c r="AB41" s="88"/>
      <c r="AC41" s="88"/>
      <c r="AD41" s="88"/>
      <c r="AF41" s="84"/>
      <c r="AG41" s="84"/>
      <c r="AH41" s="143" t="s">
        <v>888</v>
      </c>
      <c r="AI41" s="144">
        <f>(M8+Y8+AK8+M17+Y17+AK17+M26+Y26+AK26+M35+Y35+AK35)</f>
        <v>52</v>
      </c>
      <c r="AJ41" s="84"/>
    </row>
    <row r="42" spans="1:37" x14ac:dyDescent="0.2">
      <c r="A42" s="14">
        <v>42</v>
      </c>
      <c r="AA42" s="88"/>
      <c r="AB42" s="88"/>
      <c r="AC42" s="88"/>
      <c r="AD42" s="88"/>
      <c r="AF42" s="84"/>
      <c r="AG42" s="84"/>
      <c r="AH42" s="143" t="s">
        <v>889</v>
      </c>
      <c r="AI42" s="145">
        <f>(M9+Y9+AK9+M18+Y18+AK18+M27+Y27+AK27+M36+Y36+AK36)</f>
        <v>52</v>
      </c>
      <c r="AJ42" s="84"/>
    </row>
    <row r="43" spans="1:37" x14ac:dyDescent="0.2">
      <c r="A43" s="14">
        <v>43</v>
      </c>
      <c r="C43" s="4"/>
      <c r="D43" s="4"/>
      <c r="Z43" s="4"/>
      <c r="AA43" s="88"/>
      <c r="AB43" s="88"/>
      <c r="AC43" s="88"/>
      <c r="AD43" s="88"/>
      <c r="AF43" s="84"/>
      <c r="AG43" s="84"/>
      <c r="AH43" s="143" t="s">
        <v>890</v>
      </c>
      <c r="AI43" s="146">
        <f>(M10+Y10+AK10+M19+Y19+AK19+M28+Y28+AK28+M37+Y37+AK37)</f>
        <v>365</v>
      </c>
      <c r="AJ43" s="147" t="str">
        <f>IF(AI43&gt;365,"BISIESTO","NORMAL")</f>
        <v>NORMAL</v>
      </c>
      <c r="AK43" s="148" t="s">
        <v>891</v>
      </c>
    </row>
    <row r="44" spans="1:37" x14ac:dyDescent="0.2">
      <c r="A44" s="14">
        <v>44</v>
      </c>
      <c r="AF44" s="84"/>
      <c r="AG44" s="84"/>
      <c r="AH44" s="143" t="s">
        <v>892</v>
      </c>
      <c r="AI44" s="149">
        <v>52</v>
      </c>
      <c r="AJ44" s="84"/>
    </row>
    <row r="45" spans="1:37" x14ac:dyDescent="0.2">
      <c r="A45" s="14">
        <v>45</v>
      </c>
      <c r="AF45" s="84"/>
      <c r="AG45" s="84"/>
      <c r="AH45" s="84"/>
      <c r="AI45" s="84"/>
      <c r="AJ45" s="84"/>
    </row>
    <row r="46" spans="1:37" ht="12.75" x14ac:dyDescent="0.2">
      <c r="A46" s="14">
        <v>46</v>
      </c>
      <c r="C46" s="85" t="s">
        <v>893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</row>
    <row r="47" spans="1:37" x14ac:dyDescent="0.2">
      <c r="A47" s="14">
        <v>47</v>
      </c>
    </row>
    <row r="48" spans="1:37" x14ac:dyDescent="0.2">
      <c r="A48" s="14">
        <v>48</v>
      </c>
      <c r="C48" s="87" t="s">
        <v>894</v>
      </c>
      <c r="D48" s="88"/>
      <c r="E48" s="88"/>
      <c r="F48" s="88"/>
      <c r="G48" s="88"/>
      <c r="H48" s="88"/>
      <c r="I48" s="88"/>
      <c r="J48" s="4"/>
      <c r="K48" s="4"/>
      <c r="L48" s="89"/>
      <c r="M48" s="90"/>
      <c r="N48" s="4"/>
      <c r="O48" s="87" t="s">
        <v>895</v>
      </c>
      <c r="P48" s="88"/>
      <c r="Q48" s="88"/>
      <c r="R48" s="88"/>
      <c r="S48" s="88"/>
      <c r="T48" s="88"/>
      <c r="U48" s="88"/>
      <c r="V48" s="4"/>
      <c r="W48" s="4"/>
      <c r="X48" s="4"/>
      <c r="Y48" s="4"/>
      <c r="Z48" s="4"/>
      <c r="AA48" s="87" t="s">
        <v>896</v>
      </c>
      <c r="AB48" s="88"/>
      <c r="AC48" s="88"/>
      <c r="AD48" s="88"/>
      <c r="AE48" s="88"/>
      <c r="AF48" s="88"/>
      <c r="AG48" s="88"/>
      <c r="AH48" s="4"/>
      <c r="AI48" s="4"/>
      <c r="AJ48" s="4"/>
      <c r="AK48" s="4"/>
    </row>
    <row r="49" spans="1:37" x14ac:dyDescent="0.2">
      <c r="A49" s="14">
        <v>49</v>
      </c>
      <c r="C49" s="55" t="s">
        <v>3</v>
      </c>
      <c r="D49" s="55" t="s">
        <v>177</v>
      </c>
      <c r="E49" s="55" t="s">
        <v>178</v>
      </c>
      <c r="F49" s="55" t="s">
        <v>178</v>
      </c>
      <c r="G49" s="55" t="s">
        <v>9</v>
      </c>
      <c r="H49" s="55" t="s">
        <v>857</v>
      </c>
      <c r="I49" s="55" t="s">
        <v>854</v>
      </c>
      <c r="K49" s="56" t="s">
        <v>877</v>
      </c>
      <c r="L49" s="4"/>
      <c r="M49" s="4"/>
      <c r="N49" s="4"/>
      <c r="O49" s="55" t="s">
        <v>3</v>
      </c>
      <c r="P49" s="55" t="s">
        <v>177</v>
      </c>
      <c r="Q49" s="55" t="s">
        <v>178</v>
      </c>
      <c r="R49" s="55" t="s">
        <v>178</v>
      </c>
      <c r="S49" s="55" t="s">
        <v>9</v>
      </c>
      <c r="T49" s="55" t="s">
        <v>857</v>
      </c>
      <c r="U49" s="55" t="s">
        <v>854</v>
      </c>
      <c r="W49" s="56" t="s">
        <v>877</v>
      </c>
      <c r="X49" s="4"/>
      <c r="Y49" s="57"/>
      <c r="Z49" s="4"/>
      <c r="AA49" s="55" t="s">
        <v>3</v>
      </c>
      <c r="AB49" s="55" t="s">
        <v>177</v>
      </c>
      <c r="AC49" s="55" t="s">
        <v>178</v>
      </c>
      <c r="AD49" s="55" t="s">
        <v>178</v>
      </c>
      <c r="AE49" s="55" t="s">
        <v>9</v>
      </c>
      <c r="AF49" s="55" t="s">
        <v>857</v>
      </c>
      <c r="AG49" s="55" t="s">
        <v>854</v>
      </c>
      <c r="AI49" s="56" t="s">
        <v>877</v>
      </c>
      <c r="AJ49" s="4"/>
      <c r="AK49" s="4"/>
    </row>
    <row r="50" spans="1:37" x14ac:dyDescent="0.2">
      <c r="A50" s="14">
        <v>50</v>
      </c>
      <c r="C50" s="58"/>
      <c r="D50" s="91"/>
      <c r="E50" s="110">
        <v>1</v>
      </c>
      <c r="F50" s="91">
        <v>2</v>
      </c>
      <c r="G50" s="91">
        <v>3</v>
      </c>
      <c r="H50" s="91">
        <v>4</v>
      </c>
      <c r="I50" s="92">
        <v>5</v>
      </c>
      <c r="K50" s="93">
        <v>1</v>
      </c>
      <c r="L50" s="150"/>
      <c r="M50" s="151"/>
      <c r="N50" s="96"/>
      <c r="O50" s="58"/>
      <c r="P50" s="91"/>
      <c r="Q50" s="91"/>
      <c r="R50" s="91"/>
      <c r="S50" s="97"/>
      <c r="T50" s="97">
        <v>1</v>
      </c>
      <c r="U50" s="92">
        <v>2</v>
      </c>
      <c r="W50" s="98">
        <v>5</v>
      </c>
      <c r="X50" s="94"/>
      <c r="Y50" s="99"/>
      <c r="Z50" s="96"/>
      <c r="AA50" s="58"/>
      <c r="AB50" s="91"/>
      <c r="AC50" s="91"/>
      <c r="AD50" s="91"/>
      <c r="AE50" s="91"/>
      <c r="AF50" s="91"/>
      <c r="AG50" s="92">
        <v>1</v>
      </c>
      <c r="AI50" s="100">
        <v>9</v>
      </c>
      <c r="AJ50" s="94"/>
      <c r="AK50" s="49"/>
    </row>
    <row r="51" spans="1:37" x14ac:dyDescent="0.2">
      <c r="A51" s="14">
        <v>51</v>
      </c>
      <c r="C51" s="101">
        <v>6</v>
      </c>
      <c r="D51" s="91">
        <v>7</v>
      </c>
      <c r="E51" s="91">
        <v>8</v>
      </c>
      <c r="F51" s="91">
        <v>9</v>
      </c>
      <c r="G51" s="91">
        <v>10</v>
      </c>
      <c r="H51" s="91">
        <v>11</v>
      </c>
      <c r="I51" s="92">
        <v>12</v>
      </c>
      <c r="K51" s="93">
        <v>2</v>
      </c>
      <c r="L51" s="103" t="s">
        <v>418</v>
      </c>
      <c r="M51" s="104">
        <v>4</v>
      </c>
      <c r="N51" s="96"/>
      <c r="O51" s="101">
        <v>3</v>
      </c>
      <c r="P51" s="91">
        <v>4</v>
      </c>
      <c r="Q51" s="91">
        <v>5</v>
      </c>
      <c r="R51" s="91">
        <v>6</v>
      </c>
      <c r="S51" s="91">
        <v>7</v>
      </c>
      <c r="T51" s="91">
        <v>8</v>
      </c>
      <c r="U51" s="92">
        <v>9</v>
      </c>
      <c r="W51" s="98">
        <v>6</v>
      </c>
      <c r="X51" s="103" t="s">
        <v>418</v>
      </c>
      <c r="Y51" s="105">
        <v>4</v>
      </c>
      <c r="Z51" s="96"/>
      <c r="AA51" s="101">
        <v>2</v>
      </c>
      <c r="AB51" s="91">
        <v>3</v>
      </c>
      <c r="AC51" s="91">
        <v>4</v>
      </c>
      <c r="AD51" s="91">
        <v>5</v>
      </c>
      <c r="AE51" s="91">
        <v>6</v>
      </c>
      <c r="AF51" s="91">
        <v>7</v>
      </c>
      <c r="AG51" s="92">
        <v>8</v>
      </c>
      <c r="AI51" s="100">
        <v>10</v>
      </c>
      <c r="AJ51" s="103" t="s">
        <v>418</v>
      </c>
      <c r="AK51" s="106">
        <v>5</v>
      </c>
    </row>
    <row r="52" spans="1:37" x14ac:dyDescent="0.2">
      <c r="A52" s="14">
        <v>52</v>
      </c>
      <c r="C52" s="101">
        <v>13</v>
      </c>
      <c r="D52" s="91">
        <v>14</v>
      </c>
      <c r="E52" s="91">
        <v>15</v>
      </c>
      <c r="F52" s="91">
        <v>16</v>
      </c>
      <c r="G52" s="91">
        <v>17</v>
      </c>
      <c r="H52" s="91">
        <v>18</v>
      </c>
      <c r="I52" s="92">
        <v>19</v>
      </c>
      <c r="K52" s="93">
        <v>3</v>
      </c>
      <c r="L52" s="103" t="s">
        <v>425</v>
      </c>
      <c r="M52" s="104">
        <v>4</v>
      </c>
      <c r="N52" s="96"/>
      <c r="O52" s="101">
        <v>10</v>
      </c>
      <c r="P52" s="91">
        <v>11</v>
      </c>
      <c r="Q52" s="91">
        <v>12</v>
      </c>
      <c r="R52" s="91">
        <v>13</v>
      </c>
      <c r="S52" s="91">
        <v>14</v>
      </c>
      <c r="T52" s="91">
        <v>15</v>
      </c>
      <c r="U52" s="92">
        <v>16</v>
      </c>
      <c r="W52" s="98">
        <v>7</v>
      </c>
      <c r="X52" s="103" t="s">
        <v>425</v>
      </c>
      <c r="Y52" s="105">
        <v>4</v>
      </c>
      <c r="Z52" s="96"/>
      <c r="AA52" s="101">
        <v>9</v>
      </c>
      <c r="AB52" s="91">
        <v>10</v>
      </c>
      <c r="AC52" s="91">
        <v>11</v>
      </c>
      <c r="AD52" s="91">
        <v>12</v>
      </c>
      <c r="AE52" s="91">
        <v>13</v>
      </c>
      <c r="AF52" s="91">
        <v>14</v>
      </c>
      <c r="AG52" s="92">
        <v>15</v>
      </c>
      <c r="AI52" s="100">
        <v>11</v>
      </c>
      <c r="AJ52" s="103" t="s">
        <v>425</v>
      </c>
      <c r="AK52" s="106">
        <v>5</v>
      </c>
    </row>
    <row r="53" spans="1:37" x14ac:dyDescent="0.2">
      <c r="A53" s="14">
        <v>53</v>
      </c>
      <c r="C53" s="101">
        <v>20</v>
      </c>
      <c r="D53" s="91">
        <v>21</v>
      </c>
      <c r="E53" s="91">
        <v>22</v>
      </c>
      <c r="F53" s="91">
        <v>23</v>
      </c>
      <c r="G53" s="91">
        <v>24</v>
      </c>
      <c r="H53" s="91">
        <v>25</v>
      </c>
      <c r="I53" s="92">
        <v>26</v>
      </c>
      <c r="K53" s="93">
        <v>4</v>
      </c>
      <c r="L53" s="103" t="s">
        <v>878</v>
      </c>
      <c r="M53" s="104">
        <v>31</v>
      </c>
      <c r="N53" s="96"/>
      <c r="O53" s="101">
        <v>17</v>
      </c>
      <c r="P53" s="91">
        <v>18</v>
      </c>
      <c r="Q53" s="91">
        <v>19</v>
      </c>
      <c r="R53" s="91">
        <v>20</v>
      </c>
      <c r="S53" s="91">
        <v>21</v>
      </c>
      <c r="T53" s="91">
        <v>22</v>
      </c>
      <c r="U53" s="92">
        <v>23</v>
      </c>
      <c r="W53" s="98">
        <v>8</v>
      </c>
      <c r="X53" s="103" t="s">
        <v>878</v>
      </c>
      <c r="Y53" s="105">
        <v>29</v>
      </c>
      <c r="Z53" s="96"/>
      <c r="AA53" s="101">
        <v>16</v>
      </c>
      <c r="AB53" s="91">
        <v>17</v>
      </c>
      <c r="AC53" s="97">
        <v>18</v>
      </c>
      <c r="AD53" s="97">
        <v>19</v>
      </c>
      <c r="AE53" s="124">
        <v>20</v>
      </c>
      <c r="AF53" s="124">
        <v>21</v>
      </c>
      <c r="AG53" s="92">
        <v>22</v>
      </c>
      <c r="AI53" s="100">
        <v>12</v>
      </c>
      <c r="AJ53" s="103" t="s">
        <v>878</v>
      </c>
      <c r="AK53" s="106">
        <v>31</v>
      </c>
    </row>
    <row r="54" spans="1:37" x14ac:dyDescent="0.2">
      <c r="A54" s="14">
        <v>54</v>
      </c>
      <c r="C54" s="101">
        <v>27</v>
      </c>
      <c r="D54" s="91">
        <v>28</v>
      </c>
      <c r="E54" s="91">
        <v>29</v>
      </c>
      <c r="F54" s="91">
        <v>30</v>
      </c>
      <c r="G54" s="91">
        <v>31</v>
      </c>
      <c r="H54" s="91"/>
      <c r="I54" s="92"/>
      <c r="K54" s="93">
        <v>5</v>
      </c>
      <c r="L54" s="107"/>
      <c r="M54" s="108"/>
      <c r="N54" s="96"/>
      <c r="O54" s="101">
        <v>24</v>
      </c>
      <c r="P54" s="91">
        <v>25</v>
      </c>
      <c r="Q54" s="91">
        <v>26</v>
      </c>
      <c r="R54" s="91">
        <v>27</v>
      </c>
      <c r="S54" s="91">
        <v>28</v>
      </c>
      <c r="T54" s="91">
        <v>29</v>
      </c>
      <c r="U54" s="92"/>
      <c r="W54" s="98">
        <v>9</v>
      </c>
      <c r="X54" s="107"/>
      <c r="Y54" s="109"/>
      <c r="Z54" s="96"/>
      <c r="AA54" s="101">
        <v>23</v>
      </c>
      <c r="AB54" s="91">
        <v>24</v>
      </c>
      <c r="AC54" s="97">
        <v>25</v>
      </c>
      <c r="AD54" s="110">
        <v>26</v>
      </c>
      <c r="AE54" s="97">
        <v>27</v>
      </c>
      <c r="AF54" s="97">
        <v>28</v>
      </c>
      <c r="AG54" s="92">
        <v>29</v>
      </c>
      <c r="AI54" s="100">
        <v>13</v>
      </c>
      <c r="AJ54" s="111"/>
      <c r="AK54" s="112"/>
    </row>
    <row r="55" spans="1:37" x14ac:dyDescent="0.2">
      <c r="A55" s="14">
        <v>55</v>
      </c>
      <c r="C55" s="101"/>
      <c r="D55" s="91"/>
      <c r="E55" s="91"/>
      <c r="F55" s="113"/>
      <c r="G55" s="113"/>
      <c r="H55" s="113"/>
      <c r="I55" s="114"/>
      <c r="K55" s="93"/>
      <c r="L55" s="107"/>
      <c r="M55" s="115"/>
      <c r="N55" s="96"/>
      <c r="O55" s="101"/>
      <c r="P55" s="91"/>
      <c r="Q55" s="113"/>
      <c r="R55" s="113"/>
      <c r="S55" s="113"/>
      <c r="T55" s="113"/>
      <c r="U55" s="114"/>
      <c r="W55" s="98"/>
      <c r="X55" s="107"/>
      <c r="Y55" s="96"/>
      <c r="Z55" s="96"/>
      <c r="AA55" s="101">
        <v>30</v>
      </c>
      <c r="AB55" s="91">
        <v>31</v>
      </c>
      <c r="AC55" s="113"/>
      <c r="AD55" s="113"/>
      <c r="AE55" s="113"/>
      <c r="AF55" s="113"/>
      <c r="AG55" s="114"/>
      <c r="AI55" s="100">
        <v>14</v>
      </c>
      <c r="AJ55" s="111"/>
      <c r="AK55" s="4"/>
    </row>
    <row r="56" spans="1:37" x14ac:dyDescent="0.2">
      <c r="A56" s="14">
        <v>56</v>
      </c>
      <c r="C56" s="88"/>
      <c r="D56" s="88"/>
      <c r="E56" s="88"/>
      <c r="F56" s="88"/>
      <c r="G56" s="88"/>
      <c r="H56" s="88"/>
      <c r="I56" s="88"/>
      <c r="K56" s="117"/>
      <c r="L56" s="111"/>
      <c r="M56" s="118"/>
      <c r="N56" s="4"/>
      <c r="O56" s="4"/>
      <c r="P56" s="4"/>
      <c r="Q56" s="4"/>
      <c r="R56" s="4"/>
      <c r="S56" s="4"/>
      <c r="T56" s="4"/>
      <c r="U56" s="4"/>
      <c r="W56" s="119"/>
      <c r="X56" s="111"/>
      <c r="Y56" s="4"/>
      <c r="Z56" s="4"/>
      <c r="AA56" s="4"/>
      <c r="AB56" s="4"/>
      <c r="AC56" s="4"/>
      <c r="AD56" s="4"/>
      <c r="AE56" s="4"/>
      <c r="AF56" s="4"/>
      <c r="AG56" s="4"/>
      <c r="AI56" s="120"/>
      <c r="AJ56" s="111"/>
      <c r="AK56" s="4"/>
    </row>
    <row r="57" spans="1:37" x14ac:dyDescent="0.2">
      <c r="A57" s="14">
        <v>57</v>
      </c>
      <c r="C57" s="87" t="s">
        <v>897</v>
      </c>
      <c r="D57" s="88"/>
      <c r="E57" s="88"/>
      <c r="F57" s="88"/>
      <c r="G57" s="88"/>
      <c r="H57" s="88"/>
      <c r="I57" s="88"/>
      <c r="K57" s="117"/>
      <c r="L57" s="111"/>
      <c r="M57" s="121"/>
      <c r="N57" s="4"/>
      <c r="O57" s="87" t="s">
        <v>898</v>
      </c>
      <c r="P57" s="88"/>
      <c r="Q57" s="88"/>
      <c r="R57" s="88"/>
      <c r="S57" s="88"/>
      <c r="T57" s="88"/>
      <c r="U57" s="88"/>
      <c r="W57" s="119"/>
      <c r="X57" s="111"/>
      <c r="Y57" s="4"/>
      <c r="Z57" s="4"/>
      <c r="AA57" s="87" t="s">
        <v>899</v>
      </c>
      <c r="AB57" s="88"/>
      <c r="AC57" s="88"/>
      <c r="AD57" s="88"/>
      <c r="AE57" s="88"/>
      <c r="AF57" s="88"/>
      <c r="AG57" s="88"/>
      <c r="AI57" s="120"/>
      <c r="AJ57" s="111"/>
      <c r="AK57" s="4"/>
    </row>
    <row r="58" spans="1:37" x14ac:dyDescent="0.2">
      <c r="A58" s="14">
        <v>58</v>
      </c>
      <c r="C58" s="55" t="s">
        <v>3</v>
      </c>
      <c r="D58" s="55" t="s">
        <v>177</v>
      </c>
      <c r="E58" s="55" t="s">
        <v>178</v>
      </c>
      <c r="F58" s="55" t="s">
        <v>178</v>
      </c>
      <c r="G58" s="55" t="s">
        <v>9</v>
      </c>
      <c r="H58" s="55" t="s">
        <v>857</v>
      </c>
      <c r="I58" s="55" t="s">
        <v>854</v>
      </c>
      <c r="K58" s="56" t="s">
        <v>877</v>
      </c>
      <c r="L58" s="111"/>
      <c r="M58" s="121"/>
      <c r="N58" s="4"/>
      <c r="O58" s="55" t="s">
        <v>3</v>
      </c>
      <c r="P58" s="55" t="s">
        <v>177</v>
      </c>
      <c r="Q58" s="55" t="s">
        <v>178</v>
      </c>
      <c r="R58" s="55" t="s">
        <v>178</v>
      </c>
      <c r="S58" s="55" t="s">
        <v>9</v>
      </c>
      <c r="T58" s="55" t="s">
        <v>857</v>
      </c>
      <c r="U58" s="55" t="s">
        <v>854</v>
      </c>
      <c r="W58" s="56" t="s">
        <v>877</v>
      </c>
      <c r="X58" s="111"/>
      <c r="Y58" s="4"/>
      <c r="Z58" s="4"/>
      <c r="AA58" s="55" t="s">
        <v>3</v>
      </c>
      <c r="AB58" s="55" t="s">
        <v>177</v>
      </c>
      <c r="AC58" s="55" t="s">
        <v>178</v>
      </c>
      <c r="AD58" s="55" t="s">
        <v>178</v>
      </c>
      <c r="AE58" s="55" t="s">
        <v>9</v>
      </c>
      <c r="AF58" s="55" t="s">
        <v>857</v>
      </c>
      <c r="AG58" s="55" t="s">
        <v>854</v>
      </c>
      <c r="AI58" s="56" t="s">
        <v>877</v>
      </c>
      <c r="AJ58" s="111"/>
      <c r="AK58" s="4"/>
    </row>
    <row r="59" spans="1:37" x14ac:dyDescent="0.2">
      <c r="A59" s="14">
        <v>59</v>
      </c>
      <c r="C59" s="58"/>
      <c r="D59" s="91"/>
      <c r="E59" s="91">
        <v>1</v>
      </c>
      <c r="F59" s="91">
        <v>2</v>
      </c>
      <c r="G59" s="91">
        <v>3</v>
      </c>
      <c r="H59" s="91">
        <v>4</v>
      </c>
      <c r="I59" s="92">
        <v>5</v>
      </c>
      <c r="K59" s="122">
        <v>14</v>
      </c>
      <c r="L59" s="94"/>
      <c r="M59" s="152"/>
      <c r="N59" s="4"/>
      <c r="O59" s="58"/>
      <c r="P59" s="97"/>
      <c r="Q59" s="125"/>
      <c r="R59" s="125"/>
      <c r="S59" s="124">
        <v>1</v>
      </c>
      <c r="T59" s="125">
        <v>2</v>
      </c>
      <c r="U59" s="92">
        <v>3</v>
      </c>
      <c r="W59" s="100">
        <v>18</v>
      </c>
      <c r="X59" s="94"/>
      <c r="Y59" s="49"/>
      <c r="Z59" s="4"/>
      <c r="AA59" s="101">
        <v>1</v>
      </c>
      <c r="AB59" s="125">
        <v>2</v>
      </c>
      <c r="AC59" s="125">
        <v>3</v>
      </c>
      <c r="AD59" s="125">
        <v>4</v>
      </c>
      <c r="AE59" s="125">
        <v>5</v>
      </c>
      <c r="AF59" s="125">
        <v>6</v>
      </c>
      <c r="AG59" s="92">
        <v>7</v>
      </c>
      <c r="AI59" s="100">
        <v>23</v>
      </c>
      <c r="AJ59" s="94"/>
      <c r="AK59" s="123"/>
    </row>
    <row r="60" spans="1:37" x14ac:dyDescent="0.2">
      <c r="A60" s="14">
        <v>60</v>
      </c>
      <c r="C60" s="101">
        <v>6</v>
      </c>
      <c r="D60" s="91">
        <v>7</v>
      </c>
      <c r="E60" s="91">
        <v>8</v>
      </c>
      <c r="F60" s="91">
        <v>9</v>
      </c>
      <c r="G60" s="91">
        <v>10</v>
      </c>
      <c r="H60" s="91">
        <v>11</v>
      </c>
      <c r="I60" s="92">
        <v>12</v>
      </c>
      <c r="K60" s="122">
        <v>15</v>
      </c>
      <c r="L60" s="103" t="s">
        <v>418</v>
      </c>
      <c r="M60" s="126">
        <v>4</v>
      </c>
      <c r="N60" s="4"/>
      <c r="O60" s="101">
        <v>4</v>
      </c>
      <c r="P60" s="125">
        <v>5</v>
      </c>
      <c r="Q60" s="125">
        <v>6</v>
      </c>
      <c r="R60" s="125">
        <v>7</v>
      </c>
      <c r="S60" s="125">
        <v>8</v>
      </c>
      <c r="T60" s="125">
        <v>9</v>
      </c>
      <c r="U60" s="92">
        <v>10</v>
      </c>
      <c r="W60" s="100">
        <v>19</v>
      </c>
      <c r="X60" s="103" t="s">
        <v>418</v>
      </c>
      <c r="Y60" s="106">
        <v>4</v>
      </c>
      <c r="Z60" s="4"/>
      <c r="AA60" s="101">
        <v>8</v>
      </c>
      <c r="AB60" s="125">
        <v>9</v>
      </c>
      <c r="AC60" s="125">
        <v>10</v>
      </c>
      <c r="AD60" s="125">
        <v>11</v>
      </c>
      <c r="AE60" s="125">
        <v>12</v>
      </c>
      <c r="AF60" s="125">
        <v>13</v>
      </c>
      <c r="AG60" s="92">
        <v>14</v>
      </c>
      <c r="AI60" s="100">
        <v>24</v>
      </c>
      <c r="AJ60" s="103" t="s">
        <v>418</v>
      </c>
      <c r="AK60" s="106">
        <v>5</v>
      </c>
    </row>
    <row r="61" spans="1:37" x14ac:dyDescent="0.2">
      <c r="A61" s="14">
        <v>61</v>
      </c>
      <c r="C61" s="101">
        <v>13</v>
      </c>
      <c r="D61" s="91">
        <v>14</v>
      </c>
      <c r="E61" s="91">
        <v>15</v>
      </c>
      <c r="F61" s="91">
        <v>16</v>
      </c>
      <c r="G61" s="91">
        <v>17</v>
      </c>
      <c r="H61" s="91">
        <v>18</v>
      </c>
      <c r="I61" s="92">
        <v>19</v>
      </c>
      <c r="K61" s="122">
        <v>16</v>
      </c>
      <c r="L61" s="103" t="s">
        <v>425</v>
      </c>
      <c r="M61" s="126">
        <v>4</v>
      </c>
      <c r="N61" s="4"/>
      <c r="O61" s="101">
        <v>11</v>
      </c>
      <c r="P61" s="125">
        <v>12</v>
      </c>
      <c r="Q61" s="125">
        <v>13</v>
      </c>
      <c r="R61" s="125">
        <v>14</v>
      </c>
      <c r="S61" s="125">
        <v>15</v>
      </c>
      <c r="T61" s="125">
        <v>16</v>
      </c>
      <c r="U61" s="92">
        <v>17</v>
      </c>
      <c r="W61" s="100">
        <v>20</v>
      </c>
      <c r="X61" s="103" t="s">
        <v>425</v>
      </c>
      <c r="Y61" s="106">
        <v>5</v>
      </c>
      <c r="Z61" s="4"/>
      <c r="AA61" s="101">
        <v>15</v>
      </c>
      <c r="AB61" s="125">
        <v>16</v>
      </c>
      <c r="AC61" s="125">
        <v>17</v>
      </c>
      <c r="AD61" s="125">
        <v>18</v>
      </c>
      <c r="AE61" s="125">
        <v>19</v>
      </c>
      <c r="AF61" s="125">
        <v>20</v>
      </c>
      <c r="AG61" s="92">
        <v>21</v>
      </c>
      <c r="AI61" s="100">
        <v>25</v>
      </c>
      <c r="AJ61" s="103" t="s">
        <v>425</v>
      </c>
      <c r="AK61" s="106">
        <v>4</v>
      </c>
    </row>
    <row r="62" spans="1:37" x14ac:dyDescent="0.2">
      <c r="A62" s="14">
        <v>62</v>
      </c>
      <c r="C62" s="101">
        <v>20</v>
      </c>
      <c r="D62" s="91">
        <v>21</v>
      </c>
      <c r="E62" s="97">
        <v>22</v>
      </c>
      <c r="F62" s="97">
        <v>23</v>
      </c>
      <c r="G62" s="91">
        <v>24</v>
      </c>
      <c r="H62" s="91">
        <v>25</v>
      </c>
      <c r="I62" s="92">
        <v>26</v>
      </c>
      <c r="K62" s="122">
        <v>17</v>
      </c>
      <c r="L62" s="103" t="s">
        <v>878</v>
      </c>
      <c r="M62" s="126">
        <v>30</v>
      </c>
      <c r="N62" s="4"/>
      <c r="O62" s="101">
        <v>18</v>
      </c>
      <c r="P62" s="125">
        <v>19</v>
      </c>
      <c r="Q62" s="125">
        <v>20</v>
      </c>
      <c r="R62" s="125">
        <v>21</v>
      </c>
      <c r="S62" s="125">
        <v>22</v>
      </c>
      <c r="T62" s="125">
        <v>23</v>
      </c>
      <c r="U62" s="92">
        <v>24</v>
      </c>
      <c r="W62" s="100">
        <v>21</v>
      </c>
      <c r="X62" s="103" t="s">
        <v>878</v>
      </c>
      <c r="Y62" s="106">
        <v>31</v>
      </c>
      <c r="Z62" s="4"/>
      <c r="AA62" s="101">
        <v>22</v>
      </c>
      <c r="AB62" s="125">
        <v>23</v>
      </c>
      <c r="AC62" s="124">
        <v>24</v>
      </c>
      <c r="AD62" s="125">
        <v>25</v>
      </c>
      <c r="AE62" s="125">
        <v>26</v>
      </c>
      <c r="AF62" s="97">
        <v>27</v>
      </c>
      <c r="AG62" s="92">
        <v>28</v>
      </c>
      <c r="AI62" s="100">
        <v>26</v>
      </c>
      <c r="AJ62" s="103" t="s">
        <v>878</v>
      </c>
      <c r="AK62" s="106">
        <v>30</v>
      </c>
    </row>
    <row r="63" spans="1:37" x14ac:dyDescent="0.2">
      <c r="A63" s="14">
        <v>63</v>
      </c>
      <c r="C63" s="101">
        <v>27</v>
      </c>
      <c r="D63" s="91">
        <v>28</v>
      </c>
      <c r="E63" s="91">
        <v>29</v>
      </c>
      <c r="F63" s="91">
        <v>30</v>
      </c>
      <c r="G63" s="91"/>
      <c r="H63" s="91"/>
      <c r="I63" s="92"/>
      <c r="K63" s="122">
        <v>18</v>
      </c>
      <c r="L63" s="111"/>
      <c r="M63" s="127"/>
      <c r="N63" s="4"/>
      <c r="O63" s="101">
        <v>25</v>
      </c>
      <c r="P63" s="125">
        <v>26</v>
      </c>
      <c r="Q63" s="125">
        <v>27</v>
      </c>
      <c r="R63" s="125">
        <v>28</v>
      </c>
      <c r="S63" s="125">
        <v>29</v>
      </c>
      <c r="T63" s="125">
        <v>30</v>
      </c>
      <c r="U63" s="92">
        <v>31</v>
      </c>
      <c r="W63" s="100">
        <v>22</v>
      </c>
      <c r="X63" s="111"/>
      <c r="Y63" s="128"/>
      <c r="Z63" s="4"/>
      <c r="AA63" s="101">
        <v>29</v>
      </c>
      <c r="AB63" s="125">
        <v>30</v>
      </c>
      <c r="AC63" s="125"/>
      <c r="AD63" s="125"/>
      <c r="AE63" s="125"/>
      <c r="AF63" s="125"/>
      <c r="AG63" s="92"/>
      <c r="AI63" s="100">
        <v>27</v>
      </c>
      <c r="AJ63" s="111"/>
      <c r="AK63" s="112"/>
    </row>
    <row r="64" spans="1:37" x14ac:dyDescent="0.2">
      <c r="A64" s="14">
        <v>64</v>
      </c>
      <c r="C64" s="101"/>
      <c r="D64" s="91"/>
      <c r="E64" s="113"/>
      <c r="F64" s="113"/>
      <c r="G64" s="113"/>
      <c r="H64" s="113"/>
      <c r="I64" s="114"/>
      <c r="K64" s="122"/>
      <c r="L64" s="111"/>
      <c r="M64" s="121"/>
      <c r="N64" s="4"/>
      <c r="O64" s="101"/>
      <c r="P64" s="125"/>
      <c r="Q64" s="129"/>
      <c r="R64" s="129"/>
      <c r="S64" s="129"/>
      <c r="T64" s="129"/>
      <c r="U64" s="114"/>
      <c r="W64" s="100"/>
      <c r="X64" s="111"/>
      <c r="Y64" s="4"/>
      <c r="Z64" s="4"/>
      <c r="AA64" s="101"/>
      <c r="AB64" s="125"/>
      <c r="AC64" s="129"/>
      <c r="AD64" s="129"/>
      <c r="AE64" s="129"/>
      <c r="AF64" s="129"/>
      <c r="AG64" s="114"/>
      <c r="AI64" s="100"/>
      <c r="AJ64" s="111"/>
      <c r="AK64" s="4"/>
    </row>
    <row r="65" spans="1:37" x14ac:dyDescent="0.2">
      <c r="A65" s="14">
        <v>65</v>
      </c>
      <c r="C65" s="88"/>
      <c r="D65" s="88"/>
      <c r="E65" s="88"/>
      <c r="F65" s="88"/>
      <c r="G65" s="88"/>
      <c r="H65" s="88"/>
      <c r="I65" s="88"/>
      <c r="K65" s="117"/>
      <c r="L65" s="111"/>
      <c r="M65" s="121"/>
      <c r="N65" s="4"/>
      <c r="O65" s="88"/>
      <c r="P65" s="88"/>
      <c r="Q65" s="88"/>
      <c r="R65" s="88"/>
      <c r="S65" s="88"/>
      <c r="T65" s="88"/>
      <c r="U65" s="88"/>
      <c r="W65" s="119"/>
      <c r="X65" s="111"/>
      <c r="Y65" s="4"/>
      <c r="Z65" s="4"/>
      <c r="AA65" s="4"/>
      <c r="AB65" s="4"/>
      <c r="AC65" s="4"/>
      <c r="AD65" s="4"/>
      <c r="AE65" s="4"/>
      <c r="AF65" s="4"/>
      <c r="AG65" s="4"/>
      <c r="AI65" s="120"/>
      <c r="AJ65" s="111"/>
      <c r="AK65" s="4"/>
    </row>
    <row r="66" spans="1:37" x14ac:dyDescent="0.2">
      <c r="A66" s="14">
        <v>66</v>
      </c>
      <c r="C66" s="87" t="s">
        <v>900</v>
      </c>
      <c r="D66" s="88"/>
      <c r="E66" s="88"/>
      <c r="F66" s="88"/>
      <c r="G66" s="88"/>
      <c r="H66" s="88"/>
      <c r="I66" s="88"/>
      <c r="K66" s="117"/>
      <c r="L66" s="111"/>
      <c r="M66" s="121"/>
      <c r="N66" s="4"/>
      <c r="O66" s="87" t="s">
        <v>901</v>
      </c>
      <c r="P66" s="88"/>
      <c r="Q66" s="88"/>
      <c r="R66" s="88"/>
      <c r="S66" s="88"/>
      <c r="T66" s="88"/>
      <c r="U66" s="88"/>
      <c r="W66" s="119"/>
      <c r="X66" s="111"/>
      <c r="Y66" s="4"/>
      <c r="Z66" s="4"/>
      <c r="AA66" s="87" t="s">
        <v>902</v>
      </c>
      <c r="AB66" s="88"/>
      <c r="AC66" s="88"/>
      <c r="AD66" s="88"/>
      <c r="AE66" s="88"/>
      <c r="AF66" s="88"/>
      <c r="AG66" s="88"/>
      <c r="AI66" s="120"/>
      <c r="AJ66" s="111"/>
      <c r="AK66" s="4"/>
    </row>
    <row r="67" spans="1:37" x14ac:dyDescent="0.2">
      <c r="A67" s="14">
        <v>67</v>
      </c>
      <c r="C67" s="55" t="s">
        <v>3</v>
      </c>
      <c r="D67" s="55" t="s">
        <v>177</v>
      </c>
      <c r="E67" s="55" t="s">
        <v>178</v>
      </c>
      <c r="F67" s="55" t="s">
        <v>178</v>
      </c>
      <c r="G67" s="55" t="s">
        <v>9</v>
      </c>
      <c r="H67" s="55" t="s">
        <v>857</v>
      </c>
      <c r="I67" s="55" t="s">
        <v>854</v>
      </c>
      <c r="K67" s="56" t="s">
        <v>877</v>
      </c>
      <c r="L67" s="111"/>
      <c r="M67" s="121"/>
      <c r="N67" s="4"/>
      <c r="O67" s="55" t="s">
        <v>3</v>
      </c>
      <c r="P67" s="55" t="s">
        <v>177</v>
      </c>
      <c r="Q67" s="55" t="s">
        <v>178</v>
      </c>
      <c r="R67" s="55" t="s">
        <v>178</v>
      </c>
      <c r="S67" s="55" t="s">
        <v>9</v>
      </c>
      <c r="T67" s="55" t="s">
        <v>857</v>
      </c>
      <c r="U67" s="55" t="s">
        <v>854</v>
      </c>
      <c r="W67" s="56" t="s">
        <v>877</v>
      </c>
      <c r="X67" s="111"/>
      <c r="Y67" s="4"/>
      <c r="Z67" s="4"/>
      <c r="AA67" s="55" t="s">
        <v>3</v>
      </c>
      <c r="AB67" s="55" t="s">
        <v>177</v>
      </c>
      <c r="AC67" s="55" t="s">
        <v>178</v>
      </c>
      <c r="AD67" s="55" t="s">
        <v>178</v>
      </c>
      <c r="AE67" s="55" t="s">
        <v>9</v>
      </c>
      <c r="AF67" s="55" t="s">
        <v>857</v>
      </c>
      <c r="AG67" s="55" t="s">
        <v>854</v>
      </c>
      <c r="AI67" s="56" t="s">
        <v>877</v>
      </c>
      <c r="AJ67" s="111"/>
      <c r="AK67" s="4"/>
    </row>
    <row r="68" spans="1:37" x14ac:dyDescent="0.2">
      <c r="A68" s="14">
        <v>68</v>
      </c>
      <c r="C68" s="58"/>
      <c r="D68" s="125"/>
      <c r="E68" s="125">
        <v>1</v>
      </c>
      <c r="F68" s="125">
        <v>2</v>
      </c>
      <c r="G68" s="125">
        <v>3</v>
      </c>
      <c r="H68" s="125">
        <v>4</v>
      </c>
      <c r="I68" s="92">
        <v>5</v>
      </c>
      <c r="K68" s="122">
        <v>27</v>
      </c>
      <c r="L68" s="94"/>
      <c r="M68" s="152"/>
      <c r="N68" s="4"/>
      <c r="O68" s="58"/>
      <c r="P68" s="125"/>
      <c r="Q68" s="125"/>
      <c r="R68" s="125"/>
      <c r="S68" s="125"/>
      <c r="T68" s="125">
        <v>1</v>
      </c>
      <c r="U68" s="92">
        <v>2</v>
      </c>
      <c r="W68" s="100">
        <v>31</v>
      </c>
      <c r="X68" s="94"/>
      <c r="Y68" s="49"/>
      <c r="Z68" s="4"/>
      <c r="AA68" s="58"/>
      <c r="AB68" s="125">
        <v>1</v>
      </c>
      <c r="AC68" s="125">
        <v>2</v>
      </c>
      <c r="AD68" s="125">
        <v>3</v>
      </c>
      <c r="AE68" s="125">
        <v>4</v>
      </c>
      <c r="AF68" s="125">
        <v>5</v>
      </c>
      <c r="AG68" s="92">
        <v>6</v>
      </c>
      <c r="AI68" s="100">
        <v>36</v>
      </c>
      <c r="AJ68" s="94"/>
      <c r="AK68" s="49"/>
    </row>
    <row r="69" spans="1:37" x14ac:dyDescent="0.2">
      <c r="A69" s="14">
        <v>69</v>
      </c>
      <c r="C69" s="101">
        <v>6</v>
      </c>
      <c r="D69" s="125">
        <v>7</v>
      </c>
      <c r="E69" s="97">
        <v>8</v>
      </c>
      <c r="F69" s="97">
        <v>9</v>
      </c>
      <c r="G69" s="125">
        <v>10</v>
      </c>
      <c r="H69" s="125">
        <v>11</v>
      </c>
      <c r="I69" s="92">
        <v>12</v>
      </c>
      <c r="K69" s="122">
        <v>28</v>
      </c>
      <c r="L69" s="103" t="s">
        <v>418</v>
      </c>
      <c r="M69" s="126">
        <v>4</v>
      </c>
      <c r="N69" s="4"/>
      <c r="O69" s="101">
        <v>3</v>
      </c>
      <c r="P69" s="125">
        <v>4</v>
      </c>
      <c r="Q69" s="125">
        <v>5</v>
      </c>
      <c r="R69" s="125">
        <v>6</v>
      </c>
      <c r="S69" s="125">
        <v>7</v>
      </c>
      <c r="T69" s="125">
        <v>8</v>
      </c>
      <c r="U69" s="92">
        <v>9</v>
      </c>
      <c r="W69" s="100">
        <v>32</v>
      </c>
      <c r="X69" s="103" t="s">
        <v>418</v>
      </c>
      <c r="Y69" s="106">
        <v>5</v>
      </c>
      <c r="Z69" s="4"/>
      <c r="AA69" s="101">
        <v>7</v>
      </c>
      <c r="AB69" s="125">
        <v>8</v>
      </c>
      <c r="AC69" s="125">
        <v>9</v>
      </c>
      <c r="AD69" s="125">
        <v>10</v>
      </c>
      <c r="AE69" s="125">
        <v>11</v>
      </c>
      <c r="AF69" s="125">
        <v>12</v>
      </c>
      <c r="AG69" s="92">
        <v>13</v>
      </c>
      <c r="AI69" s="100">
        <v>37</v>
      </c>
      <c r="AJ69" s="103" t="s">
        <v>418</v>
      </c>
      <c r="AK69" s="106">
        <v>4</v>
      </c>
    </row>
    <row r="70" spans="1:37" x14ac:dyDescent="0.2">
      <c r="A70" s="14">
        <v>70</v>
      </c>
      <c r="C70" s="101">
        <v>13</v>
      </c>
      <c r="D70" s="125">
        <v>14</v>
      </c>
      <c r="E70" s="125">
        <v>15</v>
      </c>
      <c r="F70" s="125">
        <v>16</v>
      </c>
      <c r="G70" s="125">
        <v>17</v>
      </c>
      <c r="H70" s="125">
        <v>18</v>
      </c>
      <c r="I70" s="92">
        <v>19</v>
      </c>
      <c r="K70" s="122">
        <v>29</v>
      </c>
      <c r="L70" s="103" t="s">
        <v>425</v>
      </c>
      <c r="M70" s="126">
        <v>4</v>
      </c>
      <c r="N70" s="4"/>
      <c r="O70" s="101">
        <v>10</v>
      </c>
      <c r="P70" s="125">
        <v>11</v>
      </c>
      <c r="Q70" s="125">
        <v>12</v>
      </c>
      <c r="R70" s="125">
        <v>13</v>
      </c>
      <c r="S70" s="125">
        <v>14</v>
      </c>
      <c r="T70" s="125">
        <v>15</v>
      </c>
      <c r="U70" s="92">
        <v>16</v>
      </c>
      <c r="W70" s="100">
        <v>33</v>
      </c>
      <c r="X70" s="103" t="s">
        <v>425</v>
      </c>
      <c r="Y70" s="106">
        <v>5</v>
      </c>
      <c r="Z70" s="4"/>
      <c r="AA70" s="101">
        <v>14</v>
      </c>
      <c r="AB70" s="125">
        <v>15</v>
      </c>
      <c r="AC70" s="125">
        <v>16</v>
      </c>
      <c r="AD70" s="125">
        <v>17</v>
      </c>
      <c r="AE70" s="125">
        <v>18</v>
      </c>
      <c r="AF70" s="125">
        <v>19</v>
      </c>
      <c r="AG70" s="92">
        <v>20</v>
      </c>
      <c r="AI70" s="100">
        <v>38</v>
      </c>
      <c r="AJ70" s="103" t="s">
        <v>425</v>
      </c>
      <c r="AK70" s="106">
        <v>4</v>
      </c>
    </row>
    <row r="71" spans="1:37" x14ac:dyDescent="0.2">
      <c r="A71" s="14">
        <v>71</v>
      </c>
      <c r="C71" s="101">
        <v>20</v>
      </c>
      <c r="D71" s="125">
        <v>21</v>
      </c>
      <c r="E71" s="125">
        <v>22</v>
      </c>
      <c r="F71" s="125">
        <v>23</v>
      </c>
      <c r="G71" s="110">
        <v>24</v>
      </c>
      <c r="H71" s="125">
        <v>25</v>
      </c>
      <c r="I71" s="92">
        <v>26</v>
      </c>
      <c r="K71" s="122">
        <v>30</v>
      </c>
      <c r="L71" s="103" t="s">
        <v>878</v>
      </c>
      <c r="M71" s="126">
        <v>31</v>
      </c>
      <c r="N71" s="4"/>
      <c r="O71" s="101">
        <v>17</v>
      </c>
      <c r="P71" s="125">
        <v>18</v>
      </c>
      <c r="Q71" s="125">
        <v>19</v>
      </c>
      <c r="R71" s="125">
        <v>20</v>
      </c>
      <c r="S71" s="125">
        <v>21</v>
      </c>
      <c r="T71" s="125">
        <v>22</v>
      </c>
      <c r="U71" s="92">
        <v>23</v>
      </c>
      <c r="W71" s="100">
        <v>34</v>
      </c>
      <c r="X71" s="103" t="s">
        <v>878</v>
      </c>
      <c r="Y71" s="106">
        <v>31</v>
      </c>
      <c r="Z71" s="4"/>
      <c r="AA71" s="101">
        <v>21</v>
      </c>
      <c r="AB71" s="125">
        <v>22</v>
      </c>
      <c r="AC71" s="125">
        <v>23</v>
      </c>
      <c r="AD71" s="125">
        <v>24</v>
      </c>
      <c r="AE71" s="125">
        <v>25</v>
      </c>
      <c r="AF71" s="125">
        <v>26</v>
      </c>
      <c r="AG71" s="92">
        <v>27</v>
      </c>
      <c r="AI71" s="100">
        <v>39</v>
      </c>
      <c r="AJ71" s="103" t="s">
        <v>878</v>
      </c>
      <c r="AK71" s="106">
        <v>30</v>
      </c>
    </row>
    <row r="72" spans="1:37" x14ac:dyDescent="0.2">
      <c r="A72" s="14">
        <v>72</v>
      </c>
      <c r="C72" s="101">
        <v>27</v>
      </c>
      <c r="D72" s="134">
        <v>28</v>
      </c>
      <c r="E72" s="125">
        <v>29</v>
      </c>
      <c r="F72" s="125">
        <v>30</v>
      </c>
      <c r="G72" s="125">
        <v>31</v>
      </c>
      <c r="H72" s="125"/>
      <c r="I72" s="92"/>
      <c r="K72" s="122">
        <v>31</v>
      </c>
      <c r="L72" s="111"/>
      <c r="M72" s="127"/>
      <c r="N72" s="4"/>
      <c r="O72" s="101">
        <v>24</v>
      </c>
      <c r="P72" s="125">
        <v>25</v>
      </c>
      <c r="Q72" s="125">
        <v>26</v>
      </c>
      <c r="R72" s="125">
        <v>27</v>
      </c>
      <c r="S72" s="125">
        <v>28</v>
      </c>
      <c r="T72" s="125">
        <v>29</v>
      </c>
      <c r="U72" s="92">
        <v>30</v>
      </c>
      <c r="W72" s="100">
        <v>35</v>
      </c>
      <c r="X72" s="111"/>
      <c r="Y72" s="112"/>
      <c r="Z72" s="4"/>
      <c r="AA72" s="101">
        <v>28</v>
      </c>
      <c r="AB72" s="125">
        <v>29</v>
      </c>
      <c r="AC72" s="125">
        <v>30</v>
      </c>
      <c r="AD72" s="125"/>
      <c r="AE72" s="125"/>
      <c r="AF72" s="125"/>
      <c r="AG72" s="92"/>
      <c r="AI72" s="100">
        <v>40</v>
      </c>
      <c r="AJ72" s="111"/>
      <c r="AK72" s="112"/>
    </row>
    <row r="73" spans="1:37" x14ac:dyDescent="0.2">
      <c r="A73" s="14">
        <v>73</v>
      </c>
      <c r="C73" s="101"/>
      <c r="D73" s="125"/>
      <c r="E73" s="129"/>
      <c r="F73" s="129"/>
      <c r="G73" s="129"/>
      <c r="H73" s="129"/>
      <c r="I73" s="114"/>
      <c r="K73" s="122"/>
      <c r="L73" s="111"/>
      <c r="M73" s="121"/>
      <c r="N73" s="4"/>
      <c r="O73" s="101">
        <v>31</v>
      </c>
      <c r="P73" s="125"/>
      <c r="Q73" s="129"/>
      <c r="R73" s="129"/>
      <c r="S73" s="129"/>
      <c r="T73" s="129"/>
      <c r="U73" s="114"/>
      <c r="W73" s="100">
        <v>36</v>
      </c>
      <c r="X73" s="111"/>
      <c r="Y73" s="4"/>
      <c r="Z73" s="4"/>
      <c r="AA73" s="101"/>
      <c r="AB73" s="125"/>
      <c r="AC73" s="129"/>
      <c r="AD73" s="129"/>
      <c r="AE73" s="129"/>
      <c r="AF73" s="129"/>
      <c r="AG73" s="114"/>
      <c r="AI73" s="116"/>
      <c r="AJ73" s="111"/>
      <c r="AK73" s="4"/>
    </row>
    <row r="74" spans="1:37" x14ac:dyDescent="0.2">
      <c r="A74" s="14">
        <v>74</v>
      </c>
      <c r="C74" s="88"/>
      <c r="D74" s="88"/>
      <c r="E74" s="88"/>
      <c r="F74" s="88"/>
      <c r="G74" s="88"/>
      <c r="H74" s="88"/>
      <c r="I74" s="88"/>
      <c r="K74" s="117"/>
      <c r="L74" s="111"/>
      <c r="M74" s="121"/>
      <c r="N74" s="4"/>
      <c r="O74" s="88"/>
      <c r="P74" s="88"/>
      <c r="Q74" s="88"/>
      <c r="R74" s="88"/>
      <c r="S74" s="88"/>
      <c r="T74" s="88"/>
      <c r="U74" s="88"/>
      <c r="W74" s="119"/>
      <c r="X74" s="111"/>
      <c r="Y74" s="4"/>
      <c r="Z74" s="4"/>
      <c r="AA74" s="4"/>
      <c r="AB74" s="4"/>
      <c r="AC74" s="4"/>
      <c r="AD74" s="4"/>
      <c r="AE74" s="4"/>
      <c r="AF74" s="4"/>
      <c r="AG74" s="4"/>
      <c r="AI74" s="120"/>
      <c r="AJ74" s="111"/>
      <c r="AK74" s="4"/>
    </row>
    <row r="75" spans="1:37" x14ac:dyDescent="0.2">
      <c r="A75" s="14">
        <v>75</v>
      </c>
      <c r="C75" s="87" t="s">
        <v>903</v>
      </c>
      <c r="D75" s="88"/>
      <c r="E75" s="88"/>
      <c r="F75" s="88"/>
      <c r="G75" s="88"/>
      <c r="H75" s="88"/>
      <c r="I75" s="88"/>
      <c r="K75" s="117"/>
      <c r="L75" s="111"/>
      <c r="M75" s="121"/>
      <c r="N75" s="4"/>
      <c r="O75" s="87" t="s">
        <v>904</v>
      </c>
      <c r="P75" s="88"/>
      <c r="Q75" s="88"/>
      <c r="R75" s="88"/>
      <c r="S75" s="88"/>
      <c r="T75" s="88"/>
      <c r="U75" s="88"/>
      <c r="W75" s="119"/>
      <c r="X75" s="111"/>
      <c r="Y75" s="4"/>
      <c r="Z75" s="4"/>
      <c r="AA75" s="87" t="s">
        <v>905</v>
      </c>
      <c r="AB75" s="88"/>
      <c r="AC75" s="88"/>
      <c r="AD75" s="88"/>
      <c r="AE75" s="88"/>
      <c r="AF75" s="88"/>
      <c r="AG75" s="88"/>
      <c r="AI75" s="120"/>
      <c r="AJ75" s="111"/>
      <c r="AK75" s="4"/>
    </row>
    <row r="76" spans="1:37" x14ac:dyDescent="0.2">
      <c r="A76" s="14">
        <v>76</v>
      </c>
      <c r="C76" s="55" t="s">
        <v>3</v>
      </c>
      <c r="D76" s="55" t="s">
        <v>177</v>
      </c>
      <c r="E76" s="55" t="s">
        <v>178</v>
      </c>
      <c r="F76" s="55" t="s">
        <v>178</v>
      </c>
      <c r="G76" s="55" t="s">
        <v>9</v>
      </c>
      <c r="H76" s="55" t="s">
        <v>857</v>
      </c>
      <c r="I76" s="55" t="s">
        <v>854</v>
      </c>
      <c r="K76" s="56" t="s">
        <v>877</v>
      </c>
      <c r="L76" s="111"/>
      <c r="M76" s="121"/>
      <c r="N76" s="4"/>
      <c r="O76" s="55" t="s">
        <v>3</v>
      </c>
      <c r="P76" s="55" t="s">
        <v>177</v>
      </c>
      <c r="Q76" s="55" t="s">
        <v>178</v>
      </c>
      <c r="R76" s="55" t="s">
        <v>178</v>
      </c>
      <c r="S76" s="55" t="s">
        <v>9</v>
      </c>
      <c r="T76" s="55" t="s">
        <v>857</v>
      </c>
      <c r="U76" s="55" t="s">
        <v>854</v>
      </c>
      <c r="W76" s="56" t="s">
        <v>877</v>
      </c>
      <c r="X76" s="111"/>
      <c r="Y76" s="4"/>
      <c r="Z76" s="4"/>
      <c r="AA76" s="55" t="s">
        <v>3</v>
      </c>
      <c r="AB76" s="55" t="s">
        <v>177</v>
      </c>
      <c r="AC76" s="55" t="s">
        <v>178</v>
      </c>
      <c r="AD76" s="55" t="s">
        <v>178</v>
      </c>
      <c r="AE76" s="55" t="s">
        <v>9</v>
      </c>
      <c r="AF76" s="55" t="s">
        <v>857</v>
      </c>
      <c r="AG76" s="55" t="s">
        <v>854</v>
      </c>
      <c r="AI76" s="56" t="s">
        <v>877</v>
      </c>
      <c r="AJ76" s="111"/>
      <c r="AK76" s="4"/>
    </row>
    <row r="77" spans="1:37" x14ac:dyDescent="0.2">
      <c r="A77" s="14">
        <v>77</v>
      </c>
      <c r="C77" s="58"/>
      <c r="D77" s="125"/>
      <c r="E77" s="125"/>
      <c r="F77" s="125">
        <v>1</v>
      </c>
      <c r="G77" s="125">
        <v>2</v>
      </c>
      <c r="H77" s="125">
        <v>3</v>
      </c>
      <c r="I77" s="92">
        <v>4</v>
      </c>
      <c r="K77" s="122">
        <v>40</v>
      </c>
      <c r="L77" s="94"/>
      <c r="M77" s="123"/>
      <c r="N77" s="4"/>
      <c r="O77" s="58"/>
      <c r="P77" s="125"/>
      <c r="Q77" s="125"/>
      <c r="R77" s="125"/>
      <c r="S77" s="125"/>
      <c r="T77" s="125"/>
      <c r="U77" s="92">
        <v>1</v>
      </c>
      <c r="W77" s="100">
        <v>44</v>
      </c>
      <c r="X77" s="94"/>
      <c r="Y77" s="49"/>
      <c r="Z77" s="4"/>
      <c r="AA77" s="58"/>
      <c r="AB77" s="125">
        <v>1</v>
      </c>
      <c r="AC77" s="125">
        <v>2</v>
      </c>
      <c r="AD77" s="125">
        <v>3</v>
      </c>
      <c r="AE77" s="125">
        <v>4</v>
      </c>
      <c r="AF77" s="125">
        <v>5</v>
      </c>
      <c r="AG77" s="92">
        <v>6</v>
      </c>
      <c r="AI77" s="100">
        <v>49</v>
      </c>
      <c r="AJ77" s="94"/>
      <c r="AK77" s="49"/>
    </row>
    <row r="78" spans="1:37" x14ac:dyDescent="0.2">
      <c r="A78" s="14">
        <v>78</v>
      </c>
      <c r="C78" s="101">
        <v>5</v>
      </c>
      <c r="D78" s="125">
        <v>6</v>
      </c>
      <c r="E78" s="125">
        <v>7</v>
      </c>
      <c r="F78" s="125">
        <v>8</v>
      </c>
      <c r="G78" s="125">
        <v>9</v>
      </c>
      <c r="H78" s="125">
        <v>10</v>
      </c>
      <c r="I78" s="92">
        <v>11</v>
      </c>
      <c r="K78" s="122">
        <v>41</v>
      </c>
      <c r="L78" s="103" t="s">
        <v>418</v>
      </c>
      <c r="M78" s="126">
        <v>4</v>
      </c>
      <c r="N78" s="4"/>
      <c r="O78" s="101">
        <v>2</v>
      </c>
      <c r="P78" s="125">
        <v>3</v>
      </c>
      <c r="Q78" s="125">
        <v>4</v>
      </c>
      <c r="R78" s="125">
        <v>5</v>
      </c>
      <c r="S78" s="125">
        <v>6</v>
      </c>
      <c r="T78" s="125">
        <v>7</v>
      </c>
      <c r="U78" s="92">
        <v>8</v>
      </c>
      <c r="W78" s="100">
        <v>45</v>
      </c>
      <c r="X78" s="103" t="s">
        <v>418</v>
      </c>
      <c r="Y78" s="106">
        <v>5</v>
      </c>
      <c r="Z78" s="4"/>
      <c r="AA78" s="101">
        <v>7</v>
      </c>
      <c r="AB78" s="125">
        <v>8</v>
      </c>
      <c r="AC78" s="125">
        <v>9</v>
      </c>
      <c r="AD78" s="125">
        <v>10</v>
      </c>
      <c r="AE78" s="125">
        <v>11</v>
      </c>
      <c r="AF78" s="125">
        <v>12</v>
      </c>
      <c r="AG78" s="92">
        <v>13</v>
      </c>
      <c r="AI78" s="100">
        <v>50</v>
      </c>
      <c r="AJ78" s="103" t="s">
        <v>418</v>
      </c>
      <c r="AK78" s="106">
        <v>4</v>
      </c>
    </row>
    <row r="79" spans="1:37" x14ac:dyDescent="0.2">
      <c r="A79" s="14">
        <v>79</v>
      </c>
      <c r="C79" s="101">
        <v>12</v>
      </c>
      <c r="D79" s="125">
        <v>13</v>
      </c>
      <c r="E79" s="125">
        <v>14</v>
      </c>
      <c r="F79" s="97">
        <v>15</v>
      </c>
      <c r="G79" s="97">
        <v>16</v>
      </c>
      <c r="H79" s="125">
        <v>17</v>
      </c>
      <c r="I79" s="92">
        <v>18</v>
      </c>
      <c r="K79" s="122">
        <v>42</v>
      </c>
      <c r="L79" s="103" t="s">
        <v>425</v>
      </c>
      <c r="M79" s="126">
        <v>4</v>
      </c>
      <c r="N79" s="4"/>
      <c r="O79" s="101">
        <v>9</v>
      </c>
      <c r="P79" s="125">
        <v>10</v>
      </c>
      <c r="Q79" s="125">
        <v>11</v>
      </c>
      <c r="R79" s="125">
        <v>12</v>
      </c>
      <c r="S79" s="125">
        <v>13</v>
      </c>
      <c r="T79" s="125">
        <v>14</v>
      </c>
      <c r="U79" s="92">
        <v>15</v>
      </c>
      <c r="W79" s="100">
        <v>46</v>
      </c>
      <c r="X79" s="103" t="s">
        <v>425</v>
      </c>
      <c r="Y79" s="106">
        <v>5</v>
      </c>
      <c r="Z79" s="4"/>
      <c r="AA79" s="101">
        <v>14</v>
      </c>
      <c r="AB79" s="125">
        <v>15</v>
      </c>
      <c r="AC79" s="125">
        <v>16</v>
      </c>
      <c r="AD79" s="125">
        <v>17</v>
      </c>
      <c r="AE79" s="125">
        <v>18</v>
      </c>
      <c r="AF79" s="125">
        <v>19</v>
      </c>
      <c r="AG79" s="92">
        <v>20</v>
      </c>
      <c r="AI79" s="100">
        <v>51</v>
      </c>
      <c r="AJ79" s="103" t="s">
        <v>425</v>
      </c>
      <c r="AK79" s="106">
        <v>4</v>
      </c>
    </row>
    <row r="80" spans="1:37" x14ac:dyDescent="0.2">
      <c r="A80" s="14">
        <v>80</v>
      </c>
      <c r="C80" s="101">
        <v>19</v>
      </c>
      <c r="D80" s="125">
        <v>20</v>
      </c>
      <c r="E80" s="125">
        <v>21</v>
      </c>
      <c r="F80" s="125">
        <v>22</v>
      </c>
      <c r="G80" s="125">
        <v>23</v>
      </c>
      <c r="H80" s="125">
        <v>24</v>
      </c>
      <c r="I80" s="92">
        <v>25</v>
      </c>
      <c r="K80" s="122">
        <v>43</v>
      </c>
      <c r="L80" s="103" t="s">
        <v>878</v>
      </c>
      <c r="M80" s="126">
        <v>31</v>
      </c>
      <c r="N80" s="4"/>
      <c r="O80" s="101">
        <v>16</v>
      </c>
      <c r="P80" s="125">
        <v>17</v>
      </c>
      <c r="Q80" s="125">
        <v>18</v>
      </c>
      <c r="R80" s="125">
        <v>19</v>
      </c>
      <c r="S80" s="125">
        <v>20</v>
      </c>
      <c r="T80" s="125">
        <v>21</v>
      </c>
      <c r="U80" s="92">
        <v>22</v>
      </c>
      <c r="W80" s="100">
        <v>47</v>
      </c>
      <c r="X80" s="103" t="s">
        <v>878</v>
      </c>
      <c r="Y80" s="106">
        <v>30</v>
      </c>
      <c r="Z80" s="4"/>
      <c r="AA80" s="101">
        <v>21</v>
      </c>
      <c r="AB80" s="125">
        <v>22</v>
      </c>
      <c r="AC80" s="125">
        <v>23</v>
      </c>
      <c r="AD80" s="125">
        <v>24</v>
      </c>
      <c r="AE80" s="110">
        <v>25</v>
      </c>
      <c r="AF80" s="125">
        <v>26</v>
      </c>
      <c r="AG80" s="92">
        <v>27</v>
      </c>
      <c r="AI80" s="100">
        <v>52</v>
      </c>
      <c r="AJ80" s="103" t="s">
        <v>878</v>
      </c>
      <c r="AK80" s="106">
        <v>31</v>
      </c>
    </row>
    <row r="81" spans="1:37" x14ac:dyDescent="0.2">
      <c r="A81" s="14">
        <v>81</v>
      </c>
      <c r="C81" s="101">
        <v>26</v>
      </c>
      <c r="D81" s="130">
        <v>27</v>
      </c>
      <c r="E81" s="125">
        <v>28</v>
      </c>
      <c r="F81" s="125">
        <v>29</v>
      </c>
      <c r="G81" s="125">
        <v>30</v>
      </c>
      <c r="H81" s="125">
        <v>31</v>
      </c>
      <c r="I81" s="92"/>
      <c r="K81" s="122">
        <v>44</v>
      </c>
      <c r="L81" s="4"/>
      <c r="M81" s="112"/>
      <c r="N81" s="4"/>
      <c r="O81" s="101">
        <v>23</v>
      </c>
      <c r="P81" s="125">
        <v>24</v>
      </c>
      <c r="Q81" s="125">
        <v>25</v>
      </c>
      <c r="R81" s="125">
        <v>26</v>
      </c>
      <c r="S81" s="125">
        <v>27</v>
      </c>
      <c r="T81" s="125">
        <v>28</v>
      </c>
      <c r="U81" s="92">
        <v>29</v>
      </c>
      <c r="W81" s="100">
        <v>48</v>
      </c>
      <c r="X81" s="111"/>
      <c r="Y81" s="112"/>
      <c r="Z81" s="4"/>
      <c r="AA81" s="101">
        <v>28</v>
      </c>
      <c r="AB81" s="134">
        <v>29</v>
      </c>
      <c r="AC81" s="125">
        <v>30</v>
      </c>
      <c r="AD81" s="125">
        <v>31</v>
      </c>
      <c r="AE81" s="125"/>
      <c r="AF81" s="125"/>
      <c r="AG81" s="92"/>
      <c r="AI81" s="100"/>
      <c r="AJ81" s="111"/>
      <c r="AK81" s="4"/>
    </row>
    <row r="82" spans="1:37" x14ac:dyDescent="0.2">
      <c r="A82" s="14">
        <v>82</v>
      </c>
      <c r="C82" s="101"/>
      <c r="D82" s="125"/>
      <c r="E82" s="125"/>
      <c r="F82" s="129"/>
      <c r="G82" s="129"/>
      <c r="H82" s="129"/>
      <c r="I82" s="114"/>
      <c r="K82" s="122"/>
      <c r="L82" s="4"/>
      <c r="M82" s="4"/>
      <c r="N82" s="4"/>
      <c r="O82" s="101">
        <v>30</v>
      </c>
      <c r="P82" s="125"/>
      <c r="Q82" s="129"/>
      <c r="R82" s="129"/>
      <c r="S82" s="129"/>
      <c r="T82" s="129"/>
      <c r="U82" s="114"/>
      <c r="V82" s="133"/>
      <c r="W82" s="100">
        <v>49</v>
      </c>
      <c r="X82" s="4"/>
      <c r="Y82" s="4"/>
      <c r="Z82" s="4"/>
      <c r="AA82" s="101"/>
      <c r="AB82" s="125"/>
      <c r="AC82" s="129"/>
      <c r="AD82" s="129"/>
      <c r="AE82" s="129"/>
      <c r="AF82" s="129"/>
      <c r="AG82" s="114"/>
      <c r="AI82" s="116"/>
      <c r="AJ82" s="4"/>
      <c r="AK82" s="4"/>
    </row>
    <row r="83" spans="1:37" x14ac:dyDescent="0.2">
      <c r="A83" s="14">
        <v>83</v>
      </c>
      <c r="C83" s="88"/>
      <c r="D83" s="88"/>
      <c r="E83" s="88"/>
      <c r="F83" s="88"/>
      <c r="G83" s="88"/>
      <c r="H83" s="88"/>
      <c r="I83" s="8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88"/>
      <c r="AB83" s="88"/>
      <c r="AC83" s="88"/>
      <c r="AD83" s="88"/>
      <c r="AE83" s="88"/>
      <c r="AF83" s="88"/>
      <c r="AG83" s="88"/>
      <c r="AH83" s="4"/>
      <c r="AI83" s="4"/>
      <c r="AJ83" s="4"/>
      <c r="AK83" s="4"/>
    </row>
    <row r="84" spans="1:37" ht="12.75" x14ac:dyDescent="0.2">
      <c r="A84" s="14">
        <v>84</v>
      </c>
      <c r="C84" s="140"/>
      <c r="D84" s="140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2" t="s">
        <v>906</v>
      </c>
      <c r="Y84" s="141"/>
      <c r="Z84" s="140"/>
      <c r="AA84" s="88"/>
      <c r="AB84" s="88"/>
      <c r="AC84" s="88"/>
      <c r="AD84" s="88"/>
      <c r="AH84" s="153" t="s">
        <v>888</v>
      </c>
      <c r="AI84" s="144">
        <f>(M51+Y51+AK51+M60+Y60+AK60+M69+Y69+AK69+M78+Y78+AK78)</f>
        <v>52</v>
      </c>
    </row>
    <row r="85" spans="1:37" x14ac:dyDescent="0.2">
      <c r="A85" s="14">
        <v>85</v>
      </c>
      <c r="AA85" s="88"/>
      <c r="AB85" s="88"/>
      <c r="AC85" s="88"/>
      <c r="AD85" s="88"/>
      <c r="AH85" s="153" t="s">
        <v>889</v>
      </c>
      <c r="AI85" s="145">
        <f>(M52+Y52+AK52+M61+Y61+AK61+M70+Y70+AK70+M79+Y79+AK79)</f>
        <v>52</v>
      </c>
    </row>
    <row r="86" spans="1:37" x14ac:dyDescent="0.2">
      <c r="A86" s="14">
        <v>86</v>
      </c>
      <c r="C86" s="4"/>
      <c r="D86" s="4"/>
      <c r="Z86" s="4"/>
      <c r="AA86" s="88"/>
      <c r="AB86" s="88"/>
      <c r="AC86" s="88"/>
      <c r="AD86" s="88"/>
      <c r="AH86" s="153" t="s">
        <v>890</v>
      </c>
      <c r="AI86" s="154">
        <f>(M53+Y53+AK53+M62+Y62+AK62+M71+Y71+AK71+M80+Y80+AK80)</f>
        <v>366</v>
      </c>
      <c r="AJ86" s="147" t="str">
        <f>IF(AI86&gt;365,"BISIESTO","NORMAL")</f>
        <v>BISIESTO</v>
      </c>
      <c r="AK86" s="155"/>
    </row>
    <row r="87" spans="1:37" x14ac:dyDescent="0.2">
      <c r="A87" s="14">
        <v>87</v>
      </c>
      <c r="AH87" s="153" t="s">
        <v>892</v>
      </c>
      <c r="AI87" s="149">
        <v>52</v>
      </c>
    </row>
    <row r="88" spans="1:37" x14ac:dyDescent="0.2">
      <c r="A88" s="14">
        <v>88</v>
      </c>
    </row>
    <row r="89" spans="1:37" ht="12.75" x14ac:dyDescent="0.2">
      <c r="A89" s="14">
        <v>89</v>
      </c>
      <c r="C89" s="85" t="s">
        <v>907</v>
      </c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</row>
    <row r="90" spans="1:37" x14ac:dyDescent="0.2">
      <c r="A90" s="14">
        <v>90</v>
      </c>
    </row>
    <row r="91" spans="1:37" x14ac:dyDescent="0.2">
      <c r="A91" s="14">
        <v>91</v>
      </c>
      <c r="C91" s="87" t="s">
        <v>908</v>
      </c>
      <c r="D91" s="88"/>
      <c r="E91" s="88"/>
      <c r="F91" s="88"/>
      <c r="G91" s="88"/>
      <c r="H91" s="88"/>
      <c r="I91" s="88"/>
      <c r="J91" s="4"/>
      <c r="K91" s="4"/>
      <c r="L91" s="89"/>
      <c r="M91" s="90"/>
      <c r="N91" s="4"/>
      <c r="O91" s="87" t="s">
        <v>909</v>
      </c>
      <c r="P91" s="88"/>
      <c r="Q91" s="88"/>
      <c r="R91" s="88"/>
      <c r="S91" s="88"/>
      <c r="T91" s="88"/>
      <c r="U91" s="88"/>
      <c r="V91" s="4"/>
      <c r="W91" s="4"/>
      <c r="X91" s="4"/>
      <c r="Y91" s="4"/>
      <c r="Z91" s="4"/>
      <c r="AA91" s="87" t="s">
        <v>910</v>
      </c>
      <c r="AB91" s="88"/>
      <c r="AC91" s="88"/>
      <c r="AD91" s="88"/>
      <c r="AE91" s="88"/>
      <c r="AF91" s="88"/>
      <c r="AG91" s="88"/>
      <c r="AH91" s="4"/>
      <c r="AI91" s="4"/>
      <c r="AJ91" s="4"/>
      <c r="AK91" s="4"/>
    </row>
    <row r="92" spans="1:37" x14ac:dyDescent="0.2">
      <c r="A92" s="14">
        <v>92</v>
      </c>
      <c r="C92" s="55" t="s">
        <v>3</v>
      </c>
      <c r="D92" s="55" t="s">
        <v>177</v>
      </c>
      <c r="E92" s="55" t="s">
        <v>178</v>
      </c>
      <c r="F92" s="55" t="s">
        <v>178</v>
      </c>
      <c r="G92" s="55" t="s">
        <v>9</v>
      </c>
      <c r="H92" s="55" t="s">
        <v>857</v>
      </c>
      <c r="I92" s="55" t="s">
        <v>854</v>
      </c>
      <c r="K92" s="56" t="s">
        <v>877</v>
      </c>
      <c r="L92" s="4"/>
      <c r="M92" s="4"/>
      <c r="N92" s="4"/>
      <c r="O92" s="55" t="s">
        <v>3</v>
      </c>
      <c r="P92" s="55" t="s">
        <v>177</v>
      </c>
      <c r="Q92" s="55" t="s">
        <v>178</v>
      </c>
      <c r="R92" s="55" t="s">
        <v>178</v>
      </c>
      <c r="S92" s="55" t="s">
        <v>9</v>
      </c>
      <c r="T92" s="55" t="s">
        <v>857</v>
      </c>
      <c r="U92" s="55" t="s">
        <v>854</v>
      </c>
      <c r="W92" s="56" t="s">
        <v>877</v>
      </c>
      <c r="X92" s="4"/>
      <c r="Y92" s="57"/>
      <c r="Z92" s="4"/>
      <c r="AA92" s="55" t="s">
        <v>3</v>
      </c>
      <c r="AB92" s="55" t="s">
        <v>177</v>
      </c>
      <c r="AC92" s="55" t="s">
        <v>178</v>
      </c>
      <c r="AD92" s="55" t="s">
        <v>178</v>
      </c>
      <c r="AE92" s="55" t="s">
        <v>9</v>
      </c>
      <c r="AF92" s="55" t="s">
        <v>857</v>
      </c>
      <c r="AG92" s="55" t="s">
        <v>854</v>
      </c>
      <c r="AI92" s="56" t="s">
        <v>877</v>
      </c>
      <c r="AJ92" s="4"/>
      <c r="AK92" s="4"/>
    </row>
    <row r="93" spans="1:37" x14ac:dyDescent="0.2">
      <c r="A93" s="14">
        <v>93</v>
      </c>
      <c r="C93" s="58"/>
      <c r="D93" s="91"/>
      <c r="E93" s="156"/>
      <c r="F93" s="91"/>
      <c r="G93" s="102">
        <v>1</v>
      </c>
      <c r="H93" s="91">
        <v>2</v>
      </c>
      <c r="I93" s="92">
        <v>3</v>
      </c>
      <c r="K93" s="93">
        <v>1</v>
      </c>
      <c r="L93" s="94"/>
      <c r="M93" s="95"/>
      <c r="N93" s="96"/>
      <c r="O93" s="101">
        <v>1</v>
      </c>
      <c r="P93" s="91">
        <v>2</v>
      </c>
      <c r="Q93" s="91">
        <v>3</v>
      </c>
      <c r="R93" s="91">
        <v>4</v>
      </c>
      <c r="S93" s="97">
        <v>5</v>
      </c>
      <c r="T93" s="97">
        <v>6</v>
      </c>
      <c r="U93" s="92">
        <v>7</v>
      </c>
      <c r="W93" s="98">
        <v>6</v>
      </c>
      <c r="X93" s="94"/>
      <c r="Y93" s="99"/>
      <c r="Z93" s="96"/>
      <c r="AA93" s="101">
        <v>1</v>
      </c>
      <c r="AB93" s="91">
        <v>2</v>
      </c>
      <c r="AC93" s="91">
        <v>3</v>
      </c>
      <c r="AD93" s="91">
        <v>4</v>
      </c>
      <c r="AE93" s="91">
        <v>5</v>
      </c>
      <c r="AF93" s="91">
        <v>6</v>
      </c>
      <c r="AG93" s="92">
        <v>7</v>
      </c>
      <c r="AI93" s="100">
        <v>10</v>
      </c>
      <c r="AJ93" s="94"/>
      <c r="AK93" s="49"/>
    </row>
    <row r="94" spans="1:37" x14ac:dyDescent="0.2">
      <c r="A94" s="14">
        <v>94</v>
      </c>
      <c r="C94" s="101">
        <f>I93+1</f>
        <v>4</v>
      </c>
      <c r="D94" s="91">
        <f>C94+1</f>
        <v>5</v>
      </c>
      <c r="E94" s="91">
        <f t="shared" ref="E94:I97" si="0">D94+1</f>
        <v>6</v>
      </c>
      <c r="F94" s="91">
        <f t="shared" si="0"/>
        <v>7</v>
      </c>
      <c r="G94" s="91">
        <f t="shared" si="0"/>
        <v>8</v>
      </c>
      <c r="H94" s="91">
        <f t="shared" si="0"/>
        <v>9</v>
      </c>
      <c r="I94" s="92">
        <f t="shared" si="0"/>
        <v>10</v>
      </c>
      <c r="K94" s="93">
        <v>2</v>
      </c>
      <c r="L94" s="103" t="s">
        <v>418</v>
      </c>
      <c r="M94" s="104">
        <v>4</v>
      </c>
      <c r="N94" s="96"/>
      <c r="O94" s="101">
        <f>U93+1</f>
        <v>8</v>
      </c>
      <c r="P94" s="91">
        <f t="shared" ref="P94:U96" si="1">O94+1</f>
        <v>9</v>
      </c>
      <c r="Q94" s="91">
        <f t="shared" si="1"/>
        <v>10</v>
      </c>
      <c r="R94" s="91">
        <f t="shared" si="1"/>
        <v>11</v>
      </c>
      <c r="S94" s="91">
        <f t="shared" si="1"/>
        <v>12</v>
      </c>
      <c r="T94" s="91">
        <f t="shared" si="1"/>
        <v>13</v>
      </c>
      <c r="U94" s="92">
        <f t="shared" si="1"/>
        <v>14</v>
      </c>
      <c r="W94" s="98">
        <v>7</v>
      </c>
      <c r="X94" s="103" t="s">
        <v>418</v>
      </c>
      <c r="Y94" s="105">
        <v>4</v>
      </c>
      <c r="Z94" s="96"/>
      <c r="AA94" s="101">
        <f>AG93+1</f>
        <v>8</v>
      </c>
      <c r="AB94" s="91">
        <f t="shared" ref="AB94:AG96" si="2">AA94+1</f>
        <v>9</v>
      </c>
      <c r="AC94" s="91">
        <f t="shared" si="2"/>
        <v>10</v>
      </c>
      <c r="AD94" s="91">
        <f t="shared" si="2"/>
        <v>11</v>
      </c>
      <c r="AE94" s="91">
        <f t="shared" si="2"/>
        <v>12</v>
      </c>
      <c r="AF94" s="91">
        <f t="shared" si="2"/>
        <v>13</v>
      </c>
      <c r="AG94" s="92">
        <f t="shared" si="2"/>
        <v>14</v>
      </c>
      <c r="AI94" s="100">
        <v>11</v>
      </c>
      <c r="AJ94" s="103" t="s">
        <v>418</v>
      </c>
      <c r="AK94" s="106">
        <v>5</v>
      </c>
    </row>
    <row r="95" spans="1:37" x14ac:dyDescent="0.2">
      <c r="A95" s="14">
        <v>95</v>
      </c>
      <c r="C95" s="101">
        <f>I94+1</f>
        <v>11</v>
      </c>
      <c r="D95" s="91">
        <f>C95+1</f>
        <v>12</v>
      </c>
      <c r="E95" s="91">
        <f t="shared" si="0"/>
        <v>13</v>
      </c>
      <c r="F95" s="91">
        <f t="shared" si="0"/>
        <v>14</v>
      </c>
      <c r="G95" s="91">
        <f t="shared" si="0"/>
        <v>15</v>
      </c>
      <c r="H95" s="91">
        <f t="shared" si="0"/>
        <v>16</v>
      </c>
      <c r="I95" s="92">
        <f t="shared" si="0"/>
        <v>17</v>
      </c>
      <c r="K95" s="93">
        <v>3</v>
      </c>
      <c r="L95" s="103" t="s">
        <v>425</v>
      </c>
      <c r="M95" s="104">
        <v>5</v>
      </c>
      <c r="N95" s="96"/>
      <c r="O95" s="101">
        <f>U94+1</f>
        <v>15</v>
      </c>
      <c r="P95" s="91">
        <f t="shared" si="1"/>
        <v>16</v>
      </c>
      <c r="Q95" s="91">
        <f t="shared" si="1"/>
        <v>17</v>
      </c>
      <c r="R95" s="91">
        <f t="shared" si="1"/>
        <v>18</v>
      </c>
      <c r="S95" s="91">
        <f t="shared" si="1"/>
        <v>19</v>
      </c>
      <c r="T95" s="91">
        <f t="shared" si="1"/>
        <v>20</v>
      </c>
      <c r="U95" s="92">
        <f t="shared" si="1"/>
        <v>21</v>
      </c>
      <c r="W95" s="98">
        <v>8</v>
      </c>
      <c r="X95" s="103" t="s">
        <v>425</v>
      </c>
      <c r="Y95" s="105">
        <v>4</v>
      </c>
      <c r="Z95" s="96"/>
      <c r="AA95" s="101">
        <f>AG94+1</f>
        <v>15</v>
      </c>
      <c r="AB95" s="91">
        <f t="shared" si="2"/>
        <v>16</v>
      </c>
      <c r="AC95" s="91">
        <f t="shared" si="2"/>
        <v>17</v>
      </c>
      <c r="AD95" s="91">
        <f t="shared" si="2"/>
        <v>18</v>
      </c>
      <c r="AE95" s="91">
        <f t="shared" si="2"/>
        <v>19</v>
      </c>
      <c r="AF95" s="91">
        <f t="shared" si="2"/>
        <v>20</v>
      </c>
      <c r="AG95" s="92">
        <f t="shared" si="2"/>
        <v>21</v>
      </c>
      <c r="AI95" s="100">
        <v>12</v>
      </c>
      <c r="AJ95" s="103" t="s">
        <v>425</v>
      </c>
      <c r="AK95" s="106">
        <v>4</v>
      </c>
    </row>
    <row r="96" spans="1:37" x14ac:dyDescent="0.2">
      <c r="A96" s="14">
        <v>96</v>
      </c>
      <c r="C96" s="101">
        <f>I95+1</f>
        <v>18</v>
      </c>
      <c r="D96" s="91">
        <f>C96+1</f>
        <v>19</v>
      </c>
      <c r="E96" s="91">
        <f t="shared" si="0"/>
        <v>20</v>
      </c>
      <c r="F96" s="91">
        <f t="shared" si="0"/>
        <v>21</v>
      </c>
      <c r="G96" s="91">
        <f t="shared" si="0"/>
        <v>22</v>
      </c>
      <c r="H96" s="91">
        <f t="shared" si="0"/>
        <v>23</v>
      </c>
      <c r="I96" s="92">
        <f t="shared" si="0"/>
        <v>24</v>
      </c>
      <c r="K96" s="93">
        <v>4</v>
      </c>
      <c r="L96" s="103" t="s">
        <v>878</v>
      </c>
      <c r="M96" s="104">
        <v>31</v>
      </c>
      <c r="N96" s="96"/>
      <c r="O96" s="101">
        <f>U95+1</f>
        <v>22</v>
      </c>
      <c r="P96" s="91">
        <f t="shared" si="1"/>
        <v>23</v>
      </c>
      <c r="Q96" s="91">
        <f t="shared" si="1"/>
        <v>24</v>
      </c>
      <c r="R96" s="91">
        <f t="shared" si="1"/>
        <v>25</v>
      </c>
      <c r="S96" s="91">
        <f t="shared" si="1"/>
        <v>26</v>
      </c>
      <c r="T96" s="91">
        <f t="shared" si="1"/>
        <v>27</v>
      </c>
      <c r="U96" s="92">
        <f t="shared" si="1"/>
        <v>28</v>
      </c>
      <c r="W96" s="98">
        <v>9</v>
      </c>
      <c r="X96" s="103" t="s">
        <v>878</v>
      </c>
      <c r="Y96" s="105">
        <v>28</v>
      </c>
      <c r="Z96" s="96"/>
      <c r="AA96" s="101">
        <f>AG95+1</f>
        <v>22</v>
      </c>
      <c r="AB96" s="91">
        <f t="shared" si="2"/>
        <v>23</v>
      </c>
      <c r="AC96" s="91">
        <f t="shared" si="2"/>
        <v>24</v>
      </c>
      <c r="AD96" s="91">
        <f t="shared" si="2"/>
        <v>25</v>
      </c>
      <c r="AE96" s="124">
        <f t="shared" si="2"/>
        <v>26</v>
      </c>
      <c r="AF96" s="97">
        <f t="shared" si="2"/>
        <v>27</v>
      </c>
      <c r="AG96" s="92">
        <f t="shared" si="2"/>
        <v>28</v>
      </c>
      <c r="AI96" s="100">
        <v>13</v>
      </c>
      <c r="AJ96" s="103" t="s">
        <v>878</v>
      </c>
      <c r="AK96" s="106">
        <v>31</v>
      </c>
    </row>
    <row r="97" spans="1:37" x14ac:dyDescent="0.2">
      <c r="A97" s="14">
        <v>97</v>
      </c>
      <c r="C97" s="101">
        <f>I96+1</f>
        <v>25</v>
      </c>
      <c r="D97" s="91">
        <f>C97+1</f>
        <v>26</v>
      </c>
      <c r="E97" s="91">
        <f t="shared" si="0"/>
        <v>27</v>
      </c>
      <c r="F97" s="91">
        <f t="shared" si="0"/>
        <v>28</v>
      </c>
      <c r="G97" s="91">
        <f t="shared" si="0"/>
        <v>29</v>
      </c>
      <c r="H97" s="91">
        <f t="shared" si="0"/>
        <v>30</v>
      </c>
      <c r="I97" s="92">
        <f t="shared" si="0"/>
        <v>31</v>
      </c>
      <c r="K97" s="93">
        <v>5</v>
      </c>
      <c r="L97" s="107"/>
      <c r="M97" s="108"/>
      <c r="N97" s="96"/>
      <c r="O97" s="101"/>
      <c r="P97" s="91"/>
      <c r="Q97" s="91"/>
      <c r="R97" s="91"/>
      <c r="S97" s="91"/>
      <c r="T97" s="91"/>
      <c r="U97" s="92"/>
      <c r="W97" s="98"/>
      <c r="X97" s="107"/>
      <c r="Y97" s="109"/>
      <c r="Z97" s="96"/>
      <c r="AA97" s="101">
        <f>AG96+1</f>
        <v>29</v>
      </c>
      <c r="AB97" s="91">
        <f>AA97+1</f>
        <v>30</v>
      </c>
      <c r="AC97" s="91">
        <f>AB97+1</f>
        <v>31</v>
      </c>
      <c r="AD97" s="134"/>
      <c r="AE97" s="91"/>
      <c r="AF97" s="91"/>
      <c r="AG97" s="92"/>
      <c r="AI97" s="100">
        <v>14</v>
      </c>
      <c r="AJ97" s="111"/>
      <c r="AK97" s="112"/>
    </row>
    <row r="98" spans="1:37" x14ac:dyDescent="0.2">
      <c r="A98" s="14">
        <v>98</v>
      </c>
      <c r="C98" s="101"/>
      <c r="D98" s="91"/>
      <c r="E98" s="91"/>
      <c r="F98" s="113"/>
      <c r="G98" s="113"/>
      <c r="H98" s="113"/>
      <c r="I98" s="114"/>
      <c r="K98" s="93"/>
      <c r="L98" s="107"/>
      <c r="M98" s="115"/>
      <c r="N98" s="96"/>
      <c r="O98" s="101"/>
      <c r="P98" s="91"/>
      <c r="Q98" s="113"/>
      <c r="R98" s="113"/>
      <c r="S98" s="113"/>
      <c r="T98" s="113"/>
      <c r="U98" s="114"/>
      <c r="W98" s="98"/>
      <c r="X98" s="107"/>
      <c r="Y98" s="96"/>
      <c r="Z98" s="96"/>
      <c r="AA98" s="101"/>
      <c r="AB98" s="91"/>
      <c r="AC98" s="113"/>
      <c r="AD98" s="113"/>
      <c r="AE98" s="113"/>
      <c r="AF98" s="113"/>
      <c r="AG98" s="114"/>
      <c r="AI98" s="100"/>
      <c r="AJ98" s="111"/>
      <c r="AK98" s="4"/>
    </row>
    <row r="99" spans="1:37" x14ac:dyDescent="0.2">
      <c r="A99" s="14">
        <v>99</v>
      </c>
      <c r="C99" s="88"/>
      <c r="D99" s="88"/>
      <c r="E99" s="88"/>
      <c r="F99" s="88"/>
      <c r="G99" s="88"/>
      <c r="H99" s="88"/>
      <c r="I99" s="88"/>
      <c r="K99" s="117"/>
      <c r="L99" s="111"/>
      <c r="M99" s="118"/>
      <c r="N99" s="4"/>
      <c r="O99" s="4"/>
      <c r="P99" s="4"/>
      <c r="Q99" s="4"/>
      <c r="R99" s="4"/>
      <c r="S99" s="4"/>
      <c r="T99" s="4"/>
      <c r="U99" s="4"/>
      <c r="W99" s="119"/>
      <c r="X99" s="111"/>
      <c r="Y99" s="4"/>
      <c r="Z99" s="4"/>
      <c r="AA99" s="4"/>
      <c r="AB99" s="4"/>
      <c r="AC99" s="4"/>
      <c r="AD99" s="4"/>
      <c r="AE99" s="4"/>
      <c r="AF99" s="4"/>
      <c r="AG99" s="4"/>
      <c r="AI99" s="120"/>
      <c r="AJ99" s="111"/>
      <c r="AK99" s="4"/>
    </row>
    <row r="100" spans="1:37" x14ac:dyDescent="0.2">
      <c r="A100" s="14">
        <v>100</v>
      </c>
      <c r="C100" s="87" t="s">
        <v>911</v>
      </c>
      <c r="D100" s="88"/>
      <c r="E100" s="88"/>
      <c r="F100" s="88"/>
      <c r="G100" s="88"/>
      <c r="H100" s="88"/>
      <c r="I100" s="88"/>
      <c r="K100" s="117"/>
      <c r="L100" s="111"/>
      <c r="M100" s="121"/>
      <c r="N100" s="4"/>
      <c r="O100" s="87" t="s">
        <v>912</v>
      </c>
      <c r="P100" s="88"/>
      <c r="Q100" s="88"/>
      <c r="R100" s="88"/>
      <c r="S100" s="88"/>
      <c r="T100" s="88"/>
      <c r="U100" s="88"/>
      <c r="W100" s="119"/>
      <c r="X100" s="111"/>
      <c r="Y100" s="4"/>
      <c r="Z100" s="4"/>
      <c r="AA100" s="87" t="s">
        <v>913</v>
      </c>
      <c r="AB100" s="88"/>
      <c r="AC100" s="88"/>
      <c r="AD100" s="88"/>
      <c r="AE100" s="88"/>
      <c r="AF100" s="88"/>
      <c r="AG100" s="88"/>
      <c r="AI100" s="120"/>
      <c r="AJ100" s="111"/>
      <c r="AK100" s="4"/>
    </row>
    <row r="101" spans="1:37" x14ac:dyDescent="0.2">
      <c r="A101" s="14">
        <v>101</v>
      </c>
      <c r="C101" s="55" t="s">
        <v>3</v>
      </c>
      <c r="D101" s="55" t="s">
        <v>177</v>
      </c>
      <c r="E101" s="55" t="s">
        <v>178</v>
      </c>
      <c r="F101" s="55" t="s">
        <v>178</v>
      </c>
      <c r="G101" s="55" t="s">
        <v>9</v>
      </c>
      <c r="H101" s="55" t="s">
        <v>857</v>
      </c>
      <c r="I101" s="55" t="s">
        <v>854</v>
      </c>
      <c r="K101" s="56" t="s">
        <v>877</v>
      </c>
      <c r="L101" s="111"/>
      <c r="M101" s="121"/>
      <c r="N101" s="4"/>
      <c r="O101" s="55" t="s">
        <v>3</v>
      </c>
      <c r="P101" s="55" t="s">
        <v>177</v>
      </c>
      <c r="Q101" s="55" t="s">
        <v>178</v>
      </c>
      <c r="R101" s="55" t="s">
        <v>178</v>
      </c>
      <c r="S101" s="55" t="s">
        <v>9</v>
      </c>
      <c r="T101" s="55" t="s">
        <v>857</v>
      </c>
      <c r="U101" s="55" t="s">
        <v>854</v>
      </c>
      <c r="W101" s="56" t="s">
        <v>877</v>
      </c>
      <c r="X101" s="111"/>
      <c r="Y101" s="4"/>
      <c r="Z101" s="4"/>
      <c r="AA101" s="55" t="s">
        <v>3</v>
      </c>
      <c r="AB101" s="55" t="s">
        <v>177</v>
      </c>
      <c r="AC101" s="55" t="s">
        <v>178</v>
      </c>
      <c r="AD101" s="55" t="s">
        <v>178</v>
      </c>
      <c r="AE101" s="55" t="s">
        <v>9</v>
      </c>
      <c r="AF101" s="55" t="s">
        <v>857</v>
      </c>
      <c r="AG101" s="55" t="s">
        <v>854</v>
      </c>
      <c r="AI101" s="56" t="s">
        <v>877</v>
      </c>
      <c r="AJ101" s="111"/>
      <c r="AK101" s="4"/>
    </row>
    <row r="102" spans="1:37" x14ac:dyDescent="0.2">
      <c r="A102" s="14">
        <v>102</v>
      </c>
      <c r="C102" s="58"/>
      <c r="D102" s="91"/>
      <c r="E102" s="91"/>
      <c r="F102" s="91">
        <v>1</v>
      </c>
      <c r="G102" s="91">
        <v>2</v>
      </c>
      <c r="H102" s="91">
        <v>3</v>
      </c>
      <c r="I102" s="92">
        <v>4</v>
      </c>
      <c r="K102" s="122">
        <v>14</v>
      </c>
      <c r="L102" s="94"/>
      <c r="M102" s="123"/>
      <c r="N102" s="4"/>
      <c r="O102" s="58"/>
      <c r="P102" s="97"/>
      <c r="Q102" s="125"/>
      <c r="R102" s="125"/>
      <c r="S102" s="125"/>
      <c r="T102" s="124">
        <v>1</v>
      </c>
      <c r="U102" s="92">
        <v>2</v>
      </c>
      <c r="W102" s="100">
        <v>18</v>
      </c>
      <c r="X102" s="94"/>
      <c r="Y102" s="49"/>
      <c r="Z102" s="4"/>
      <c r="AA102" s="101"/>
      <c r="AB102" s="125">
        <v>1</v>
      </c>
      <c r="AC102" s="125">
        <v>2</v>
      </c>
      <c r="AD102" s="125">
        <v>3</v>
      </c>
      <c r="AE102" s="125">
        <v>4</v>
      </c>
      <c r="AF102" s="125">
        <v>5</v>
      </c>
      <c r="AG102" s="92">
        <v>6</v>
      </c>
      <c r="AI102" s="100">
        <v>23</v>
      </c>
      <c r="AJ102" s="94"/>
      <c r="AK102" s="123"/>
    </row>
    <row r="103" spans="1:37" x14ac:dyDescent="0.2">
      <c r="A103" s="14">
        <v>103</v>
      </c>
      <c r="C103" s="101">
        <f>I102+1</f>
        <v>5</v>
      </c>
      <c r="D103" s="91">
        <f t="shared" ref="D103:I105" si="3">C103+1</f>
        <v>6</v>
      </c>
      <c r="E103" s="91">
        <f t="shared" si="3"/>
        <v>7</v>
      </c>
      <c r="F103" s="91">
        <f t="shared" si="3"/>
        <v>8</v>
      </c>
      <c r="G103" s="124">
        <f t="shared" si="3"/>
        <v>9</v>
      </c>
      <c r="H103" s="124">
        <f t="shared" si="3"/>
        <v>10</v>
      </c>
      <c r="I103" s="92">
        <f t="shared" si="3"/>
        <v>11</v>
      </c>
      <c r="K103" s="122">
        <v>15</v>
      </c>
      <c r="L103" s="103" t="s">
        <v>418</v>
      </c>
      <c r="M103" s="126">
        <v>4</v>
      </c>
      <c r="N103" s="4"/>
      <c r="O103" s="101">
        <f>U102+1</f>
        <v>3</v>
      </c>
      <c r="P103" s="125">
        <f t="shared" ref="P103:U106" si="4">O103+1</f>
        <v>4</v>
      </c>
      <c r="Q103" s="125">
        <f t="shared" si="4"/>
        <v>5</v>
      </c>
      <c r="R103" s="125">
        <f t="shared" si="4"/>
        <v>6</v>
      </c>
      <c r="S103" s="125">
        <f t="shared" si="4"/>
        <v>7</v>
      </c>
      <c r="T103" s="125">
        <f t="shared" si="4"/>
        <v>8</v>
      </c>
      <c r="U103" s="92">
        <f t="shared" si="4"/>
        <v>9</v>
      </c>
      <c r="W103" s="100">
        <v>19</v>
      </c>
      <c r="X103" s="103" t="s">
        <v>418</v>
      </c>
      <c r="Y103" s="106">
        <v>5</v>
      </c>
      <c r="Z103" s="4"/>
      <c r="AA103" s="101">
        <f>AG102+1</f>
        <v>7</v>
      </c>
      <c r="AB103" s="125">
        <f t="shared" ref="AB103:AG105" si="5">AA103+1</f>
        <v>8</v>
      </c>
      <c r="AC103" s="125">
        <f t="shared" si="5"/>
        <v>9</v>
      </c>
      <c r="AD103" s="125">
        <f t="shared" si="5"/>
        <v>10</v>
      </c>
      <c r="AE103" s="125">
        <f t="shared" si="5"/>
        <v>11</v>
      </c>
      <c r="AF103" s="125">
        <f t="shared" si="5"/>
        <v>12</v>
      </c>
      <c r="AG103" s="92">
        <f t="shared" si="5"/>
        <v>13</v>
      </c>
      <c r="AI103" s="100">
        <v>24</v>
      </c>
      <c r="AJ103" s="103" t="s">
        <v>418</v>
      </c>
      <c r="AK103" s="106">
        <v>4</v>
      </c>
    </row>
    <row r="104" spans="1:37" x14ac:dyDescent="0.2">
      <c r="A104" s="14">
        <v>104</v>
      </c>
      <c r="C104" s="101">
        <f>I103+1</f>
        <v>12</v>
      </c>
      <c r="D104" s="91">
        <f t="shared" si="3"/>
        <v>13</v>
      </c>
      <c r="E104" s="91">
        <f t="shared" si="3"/>
        <v>14</v>
      </c>
      <c r="F104" s="91">
        <f t="shared" si="3"/>
        <v>15</v>
      </c>
      <c r="G104" s="91">
        <f t="shared" si="3"/>
        <v>16</v>
      </c>
      <c r="H104" s="91">
        <f t="shared" si="3"/>
        <v>17</v>
      </c>
      <c r="I104" s="92">
        <f t="shared" si="3"/>
        <v>18</v>
      </c>
      <c r="K104" s="122">
        <v>16</v>
      </c>
      <c r="L104" s="103" t="s">
        <v>425</v>
      </c>
      <c r="M104" s="126">
        <v>4</v>
      </c>
      <c r="N104" s="4"/>
      <c r="O104" s="101">
        <f>U103+1</f>
        <v>10</v>
      </c>
      <c r="P104" s="125">
        <f t="shared" si="4"/>
        <v>11</v>
      </c>
      <c r="Q104" s="125">
        <f t="shared" si="4"/>
        <v>12</v>
      </c>
      <c r="R104" s="125">
        <f t="shared" si="4"/>
        <v>13</v>
      </c>
      <c r="S104" s="125">
        <f t="shared" si="4"/>
        <v>14</v>
      </c>
      <c r="T104" s="125">
        <f t="shared" si="4"/>
        <v>15</v>
      </c>
      <c r="U104" s="92">
        <f t="shared" si="4"/>
        <v>16</v>
      </c>
      <c r="W104" s="100">
        <v>20</v>
      </c>
      <c r="X104" s="103" t="s">
        <v>425</v>
      </c>
      <c r="Y104" s="106">
        <v>5</v>
      </c>
      <c r="Z104" s="4"/>
      <c r="AA104" s="101">
        <f>AG103+1</f>
        <v>14</v>
      </c>
      <c r="AB104" s="125">
        <f t="shared" si="5"/>
        <v>15</v>
      </c>
      <c r="AC104" s="125">
        <f t="shared" si="5"/>
        <v>16</v>
      </c>
      <c r="AD104" s="125">
        <f t="shared" si="5"/>
        <v>17</v>
      </c>
      <c r="AE104" s="125">
        <f t="shared" si="5"/>
        <v>18</v>
      </c>
      <c r="AF104" s="125">
        <f t="shared" si="5"/>
        <v>19</v>
      </c>
      <c r="AG104" s="92">
        <f t="shared" si="5"/>
        <v>20</v>
      </c>
      <c r="AI104" s="100">
        <v>25</v>
      </c>
      <c r="AJ104" s="103" t="s">
        <v>425</v>
      </c>
      <c r="AK104" s="106">
        <v>4</v>
      </c>
    </row>
    <row r="105" spans="1:37" x14ac:dyDescent="0.2">
      <c r="A105" s="14">
        <v>105</v>
      </c>
      <c r="C105" s="101">
        <f>I104+1</f>
        <v>19</v>
      </c>
      <c r="D105" s="91">
        <f t="shared" si="3"/>
        <v>20</v>
      </c>
      <c r="E105" s="97">
        <f t="shared" si="3"/>
        <v>21</v>
      </c>
      <c r="F105" s="97">
        <f t="shared" si="3"/>
        <v>22</v>
      </c>
      <c r="G105" s="91">
        <f t="shared" si="3"/>
        <v>23</v>
      </c>
      <c r="H105" s="91">
        <f t="shared" si="3"/>
        <v>24</v>
      </c>
      <c r="I105" s="92">
        <f t="shared" si="3"/>
        <v>25</v>
      </c>
      <c r="K105" s="122">
        <v>17</v>
      </c>
      <c r="L105" s="103" t="s">
        <v>878</v>
      </c>
      <c r="M105" s="126">
        <v>30</v>
      </c>
      <c r="N105" s="4"/>
      <c r="O105" s="101">
        <f>U104+1</f>
        <v>17</v>
      </c>
      <c r="P105" s="125">
        <f t="shared" si="4"/>
        <v>18</v>
      </c>
      <c r="Q105" s="125">
        <f t="shared" si="4"/>
        <v>19</v>
      </c>
      <c r="R105" s="125">
        <f t="shared" si="4"/>
        <v>20</v>
      </c>
      <c r="S105" s="125">
        <f t="shared" si="4"/>
        <v>21</v>
      </c>
      <c r="T105" s="125">
        <f t="shared" si="4"/>
        <v>22</v>
      </c>
      <c r="U105" s="92">
        <f t="shared" si="4"/>
        <v>23</v>
      </c>
      <c r="W105" s="100">
        <v>21</v>
      </c>
      <c r="X105" s="103" t="s">
        <v>878</v>
      </c>
      <c r="Y105" s="106">
        <v>31</v>
      </c>
      <c r="Z105" s="4"/>
      <c r="AA105" s="101">
        <f>AG104+1</f>
        <v>21</v>
      </c>
      <c r="AB105" s="125">
        <f t="shared" si="5"/>
        <v>22</v>
      </c>
      <c r="AC105" s="97">
        <f t="shared" si="5"/>
        <v>23</v>
      </c>
      <c r="AD105" s="130">
        <f t="shared" si="5"/>
        <v>24</v>
      </c>
      <c r="AE105" s="125">
        <f t="shared" si="5"/>
        <v>25</v>
      </c>
      <c r="AF105" s="97">
        <f t="shared" si="5"/>
        <v>26</v>
      </c>
      <c r="AG105" s="92">
        <f t="shared" si="5"/>
        <v>27</v>
      </c>
      <c r="AI105" s="100">
        <v>26</v>
      </c>
      <c r="AJ105" s="103" t="s">
        <v>878</v>
      </c>
      <c r="AK105" s="106">
        <v>30</v>
      </c>
    </row>
    <row r="106" spans="1:37" x14ac:dyDescent="0.2">
      <c r="A106" s="14">
        <v>106</v>
      </c>
      <c r="C106" s="101">
        <f>I105+1</f>
        <v>26</v>
      </c>
      <c r="D106" s="91">
        <f>C106+1</f>
        <v>27</v>
      </c>
      <c r="E106" s="91">
        <f>D106+1</f>
        <v>28</v>
      </c>
      <c r="F106" s="91">
        <f>E106+1</f>
        <v>29</v>
      </c>
      <c r="G106" s="91">
        <f>F106+1</f>
        <v>30</v>
      </c>
      <c r="H106" s="91"/>
      <c r="I106" s="92"/>
      <c r="K106" s="122">
        <v>18</v>
      </c>
      <c r="L106" s="111"/>
      <c r="M106" s="127"/>
      <c r="N106" s="4"/>
      <c r="O106" s="101">
        <f>U105+1</f>
        <v>24</v>
      </c>
      <c r="P106" s="125">
        <f t="shared" si="4"/>
        <v>25</v>
      </c>
      <c r="Q106" s="125">
        <f t="shared" si="4"/>
        <v>26</v>
      </c>
      <c r="R106" s="125">
        <f t="shared" si="4"/>
        <v>27</v>
      </c>
      <c r="S106" s="125">
        <f t="shared" si="4"/>
        <v>28</v>
      </c>
      <c r="T106" s="125">
        <f t="shared" si="4"/>
        <v>29</v>
      </c>
      <c r="U106" s="92">
        <f t="shared" si="4"/>
        <v>30</v>
      </c>
      <c r="W106" s="100">
        <v>22</v>
      </c>
      <c r="X106" s="111"/>
      <c r="Y106" s="128"/>
      <c r="Z106" s="4"/>
      <c r="AA106" s="101">
        <f>AG105+1</f>
        <v>28</v>
      </c>
      <c r="AB106" s="125">
        <f>AA106+1</f>
        <v>29</v>
      </c>
      <c r="AC106" s="125">
        <f>AB106+1</f>
        <v>30</v>
      </c>
      <c r="AD106" s="125"/>
      <c r="AE106" s="125"/>
      <c r="AF106" s="125"/>
      <c r="AG106" s="92"/>
      <c r="AI106" s="100">
        <v>27</v>
      </c>
      <c r="AJ106" s="111"/>
      <c r="AK106" s="112"/>
    </row>
    <row r="107" spans="1:37" x14ac:dyDescent="0.2">
      <c r="A107" s="14">
        <v>107</v>
      </c>
      <c r="C107" s="101"/>
      <c r="D107" s="91"/>
      <c r="E107" s="113"/>
      <c r="F107" s="113"/>
      <c r="G107" s="113"/>
      <c r="H107" s="113"/>
      <c r="I107" s="114"/>
      <c r="K107" s="122"/>
      <c r="L107" s="111"/>
      <c r="M107" s="121"/>
      <c r="N107" s="4"/>
      <c r="O107" s="101">
        <v>31</v>
      </c>
      <c r="P107" s="125"/>
      <c r="Q107" s="129"/>
      <c r="R107" s="129"/>
      <c r="S107" s="129"/>
      <c r="T107" s="129"/>
      <c r="U107" s="114"/>
      <c r="W107" s="100">
        <v>23</v>
      </c>
      <c r="X107" s="111"/>
      <c r="Y107" s="4"/>
      <c r="Z107" s="4"/>
      <c r="AA107" s="101"/>
      <c r="AB107" s="125"/>
      <c r="AC107" s="129"/>
      <c r="AD107" s="129"/>
      <c r="AE107" s="129"/>
      <c r="AF107" s="129"/>
      <c r="AG107" s="114"/>
      <c r="AI107" s="100"/>
      <c r="AJ107" s="111"/>
      <c r="AK107" s="4"/>
    </row>
    <row r="108" spans="1:37" x14ac:dyDescent="0.2">
      <c r="A108" s="14">
        <v>108</v>
      </c>
      <c r="C108" s="88"/>
      <c r="D108" s="88"/>
      <c r="E108" s="88"/>
      <c r="F108" s="88"/>
      <c r="G108" s="88"/>
      <c r="H108" s="88"/>
      <c r="I108" s="88"/>
      <c r="K108" s="117"/>
      <c r="L108" s="111"/>
      <c r="M108" s="121"/>
      <c r="N108" s="4"/>
      <c r="O108" s="88"/>
      <c r="P108" s="88"/>
      <c r="Q108" s="88"/>
      <c r="R108" s="88"/>
      <c r="S108" s="88"/>
      <c r="T108" s="88"/>
      <c r="U108" s="88"/>
      <c r="W108" s="119"/>
      <c r="X108" s="111"/>
      <c r="Y108" s="4"/>
      <c r="Z108" s="4"/>
      <c r="AA108" s="4"/>
      <c r="AB108" s="4"/>
      <c r="AC108" s="4"/>
      <c r="AD108" s="4"/>
      <c r="AE108" s="4"/>
      <c r="AF108" s="4"/>
      <c r="AG108" s="4"/>
      <c r="AI108" s="120"/>
      <c r="AJ108" s="111"/>
      <c r="AK108" s="4"/>
    </row>
    <row r="109" spans="1:37" x14ac:dyDescent="0.2">
      <c r="A109" s="14">
        <v>109</v>
      </c>
      <c r="C109" s="87" t="s">
        <v>914</v>
      </c>
      <c r="D109" s="88"/>
      <c r="E109" s="88"/>
      <c r="F109" s="88"/>
      <c r="G109" s="88"/>
      <c r="H109" s="88"/>
      <c r="I109" s="88"/>
      <c r="K109" s="117"/>
      <c r="L109" s="111"/>
      <c r="M109" s="121"/>
      <c r="N109" s="4"/>
      <c r="O109" s="87" t="s">
        <v>915</v>
      </c>
      <c r="P109" s="88"/>
      <c r="Q109" s="88"/>
      <c r="R109" s="88"/>
      <c r="S109" s="88"/>
      <c r="T109" s="88"/>
      <c r="U109" s="88"/>
      <c r="W109" s="119"/>
      <c r="X109" s="111"/>
      <c r="Y109" s="4"/>
      <c r="Z109" s="4"/>
      <c r="AA109" s="87" t="s">
        <v>916</v>
      </c>
      <c r="AB109" s="88"/>
      <c r="AC109" s="88"/>
      <c r="AD109" s="88"/>
      <c r="AE109" s="88"/>
      <c r="AF109" s="88"/>
      <c r="AG109" s="88"/>
      <c r="AI109" s="120"/>
      <c r="AJ109" s="111"/>
      <c r="AK109" s="4"/>
    </row>
    <row r="110" spans="1:37" x14ac:dyDescent="0.2">
      <c r="A110" s="14">
        <v>110</v>
      </c>
      <c r="C110" s="55" t="s">
        <v>3</v>
      </c>
      <c r="D110" s="55" t="s">
        <v>177</v>
      </c>
      <c r="E110" s="55" t="s">
        <v>178</v>
      </c>
      <c r="F110" s="55" t="s">
        <v>178</v>
      </c>
      <c r="G110" s="55" t="s">
        <v>9</v>
      </c>
      <c r="H110" s="55" t="s">
        <v>857</v>
      </c>
      <c r="I110" s="55" t="s">
        <v>854</v>
      </c>
      <c r="K110" s="56" t="s">
        <v>877</v>
      </c>
      <c r="L110" s="111"/>
      <c r="M110" s="121"/>
      <c r="N110" s="4"/>
      <c r="O110" s="55" t="s">
        <v>3</v>
      </c>
      <c r="P110" s="55" t="s">
        <v>177</v>
      </c>
      <c r="Q110" s="55" t="s">
        <v>178</v>
      </c>
      <c r="R110" s="55" t="s">
        <v>178</v>
      </c>
      <c r="S110" s="55" t="s">
        <v>9</v>
      </c>
      <c r="T110" s="55" t="s">
        <v>857</v>
      </c>
      <c r="U110" s="55" t="s">
        <v>854</v>
      </c>
      <c r="W110" s="56" t="s">
        <v>877</v>
      </c>
      <c r="X110" s="111"/>
      <c r="Y110" s="4"/>
      <c r="Z110" s="4"/>
      <c r="AA110" s="55" t="s">
        <v>3</v>
      </c>
      <c r="AB110" s="55" t="s">
        <v>177</v>
      </c>
      <c r="AC110" s="55" t="s">
        <v>178</v>
      </c>
      <c r="AD110" s="55" t="s">
        <v>178</v>
      </c>
      <c r="AE110" s="55" t="s">
        <v>9</v>
      </c>
      <c r="AF110" s="55" t="s">
        <v>857</v>
      </c>
      <c r="AG110" s="55" t="s">
        <v>854</v>
      </c>
      <c r="AI110" s="56" t="s">
        <v>877</v>
      </c>
      <c r="AJ110" s="111"/>
      <c r="AK110" s="4"/>
    </row>
    <row r="111" spans="1:37" x14ac:dyDescent="0.2">
      <c r="A111" s="14">
        <v>111</v>
      </c>
      <c r="C111" s="58"/>
      <c r="D111" s="125"/>
      <c r="E111" s="125"/>
      <c r="F111" s="125">
        <v>1</v>
      </c>
      <c r="G111" s="125">
        <v>2</v>
      </c>
      <c r="H111" s="125">
        <v>3</v>
      </c>
      <c r="I111" s="92">
        <v>4</v>
      </c>
      <c r="K111" s="122">
        <v>27</v>
      </c>
      <c r="L111" s="94"/>
      <c r="M111" s="123"/>
      <c r="N111" s="4"/>
      <c r="O111" s="58"/>
      <c r="P111" s="125"/>
      <c r="Q111" s="125"/>
      <c r="R111" s="125"/>
      <c r="S111" s="125"/>
      <c r="T111" s="125"/>
      <c r="U111" s="92">
        <v>1</v>
      </c>
      <c r="W111" s="100">
        <v>31</v>
      </c>
      <c r="X111" s="94"/>
      <c r="Y111" s="49"/>
      <c r="Z111" s="4"/>
      <c r="AA111" s="58"/>
      <c r="AB111" s="125"/>
      <c r="AC111" s="125">
        <v>1</v>
      </c>
      <c r="AD111" s="125">
        <v>2</v>
      </c>
      <c r="AE111" s="125">
        <v>3</v>
      </c>
      <c r="AF111" s="125">
        <v>4</v>
      </c>
      <c r="AG111" s="92">
        <v>5</v>
      </c>
      <c r="AI111" s="100">
        <v>36</v>
      </c>
      <c r="AJ111" s="94"/>
      <c r="AK111" s="49"/>
    </row>
    <row r="112" spans="1:37" x14ac:dyDescent="0.2">
      <c r="A112" s="14">
        <v>112</v>
      </c>
      <c r="C112" s="101">
        <f>I111+1</f>
        <v>5</v>
      </c>
      <c r="D112" s="125">
        <f t="shared" ref="D112:I114" si="6">C112+1</f>
        <v>6</v>
      </c>
      <c r="E112" s="97">
        <f t="shared" si="6"/>
        <v>7</v>
      </c>
      <c r="F112" s="97">
        <f t="shared" si="6"/>
        <v>8</v>
      </c>
      <c r="G112" s="125">
        <f t="shared" si="6"/>
        <v>9</v>
      </c>
      <c r="H112" s="125">
        <f t="shared" si="6"/>
        <v>10</v>
      </c>
      <c r="I112" s="92">
        <f t="shared" si="6"/>
        <v>11</v>
      </c>
      <c r="K112" s="122">
        <v>28</v>
      </c>
      <c r="L112" s="103" t="s">
        <v>418</v>
      </c>
      <c r="M112" s="126">
        <v>4</v>
      </c>
      <c r="N112" s="4"/>
      <c r="O112" s="101">
        <f>U111+1</f>
        <v>2</v>
      </c>
      <c r="P112" s="125">
        <f t="shared" ref="P112:U115" si="7">O112+1</f>
        <v>3</v>
      </c>
      <c r="Q112" s="125">
        <f t="shared" si="7"/>
        <v>4</v>
      </c>
      <c r="R112" s="125">
        <f t="shared" si="7"/>
        <v>5</v>
      </c>
      <c r="S112" s="125">
        <f t="shared" si="7"/>
        <v>6</v>
      </c>
      <c r="T112" s="125">
        <f t="shared" si="7"/>
        <v>7</v>
      </c>
      <c r="U112" s="92">
        <f t="shared" si="7"/>
        <v>8</v>
      </c>
      <c r="W112" s="100">
        <v>32</v>
      </c>
      <c r="X112" s="103" t="s">
        <v>418</v>
      </c>
      <c r="Y112" s="106">
        <v>5</v>
      </c>
      <c r="Z112" s="4"/>
      <c r="AA112" s="101">
        <f>AG111+1</f>
        <v>6</v>
      </c>
      <c r="AB112" s="125">
        <f t="shared" ref="AB112:AG114" si="8">AA112+1</f>
        <v>7</v>
      </c>
      <c r="AC112" s="125">
        <f t="shared" si="8"/>
        <v>8</v>
      </c>
      <c r="AD112" s="125">
        <f t="shared" si="8"/>
        <v>9</v>
      </c>
      <c r="AE112" s="125">
        <f t="shared" si="8"/>
        <v>10</v>
      </c>
      <c r="AF112" s="125">
        <f t="shared" si="8"/>
        <v>11</v>
      </c>
      <c r="AG112" s="92">
        <f t="shared" si="8"/>
        <v>12</v>
      </c>
      <c r="AI112" s="100">
        <v>37</v>
      </c>
      <c r="AJ112" s="103" t="s">
        <v>418</v>
      </c>
      <c r="AK112" s="106">
        <v>4</v>
      </c>
    </row>
    <row r="113" spans="1:37" x14ac:dyDescent="0.2">
      <c r="A113" s="14">
        <v>113</v>
      </c>
      <c r="C113" s="101">
        <f>I112+1</f>
        <v>12</v>
      </c>
      <c r="D113" s="125">
        <f t="shared" si="6"/>
        <v>13</v>
      </c>
      <c r="E113" s="125">
        <f t="shared" si="6"/>
        <v>14</v>
      </c>
      <c r="F113" s="125">
        <f t="shared" si="6"/>
        <v>15</v>
      </c>
      <c r="G113" s="125">
        <f t="shared" si="6"/>
        <v>16</v>
      </c>
      <c r="H113" s="125">
        <f t="shared" si="6"/>
        <v>17</v>
      </c>
      <c r="I113" s="92">
        <f t="shared" si="6"/>
        <v>18</v>
      </c>
      <c r="K113" s="122">
        <v>29</v>
      </c>
      <c r="L113" s="103" t="s">
        <v>425</v>
      </c>
      <c r="M113" s="126">
        <v>4</v>
      </c>
      <c r="N113" s="4"/>
      <c r="O113" s="101">
        <f>U112+1</f>
        <v>9</v>
      </c>
      <c r="P113" s="125">
        <f t="shared" si="7"/>
        <v>10</v>
      </c>
      <c r="Q113" s="125">
        <f t="shared" si="7"/>
        <v>11</v>
      </c>
      <c r="R113" s="125">
        <f t="shared" si="7"/>
        <v>12</v>
      </c>
      <c r="S113" s="125">
        <f t="shared" si="7"/>
        <v>13</v>
      </c>
      <c r="T113" s="125">
        <f t="shared" si="7"/>
        <v>14</v>
      </c>
      <c r="U113" s="92">
        <f t="shared" si="7"/>
        <v>15</v>
      </c>
      <c r="W113" s="100">
        <v>33</v>
      </c>
      <c r="X113" s="103" t="s">
        <v>425</v>
      </c>
      <c r="Y113" s="106">
        <v>5</v>
      </c>
      <c r="Z113" s="4"/>
      <c r="AA113" s="101">
        <f>AG112+1</f>
        <v>13</v>
      </c>
      <c r="AB113" s="125">
        <f t="shared" si="8"/>
        <v>14</v>
      </c>
      <c r="AC113" s="125">
        <f>AB113+1</f>
        <v>15</v>
      </c>
      <c r="AD113" s="125">
        <f t="shared" si="8"/>
        <v>16</v>
      </c>
      <c r="AE113" s="125">
        <f t="shared" si="8"/>
        <v>17</v>
      </c>
      <c r="AF113" s="125">
        <f t="shared" si="8"/>
        <v>18</v>
      </c>
      <c r="AG113" s="92">
        <f t="shared" si="8"/>
        <v>19</v>
      </c>
      <c r="AI113" s="100">
        <v>38</v>
      </c>
      <c r="AJ113" s="103" t="s">
        <v>425</v>
      </c>
      <c r="AK113" s="106">
        <v>4</v>
      </c>
    </row>
    <row r="114" spans="1:37" x14ac:dyDescent="0.2">
      <c r="A114" s="14">
        <v>114</v>
      </c>
      <c r="C114" s="101">
        <f>I113+1</f>
        <v>19</v>
      </c>
      <c r="D114" s="125">
        <f t="shared" si="6"/>
        <v>20</v>
      </c>
      <c r="E114" s="125">
        <f t="shared" si="6"/>
        <v>21</v>
      </c>
      <c r="F114" s="125">
        <f t="shared" si="6"/>
        <v>22</v>
      </c>
      <c r="G114" s="134">
        <f t="shared" si="6"/>
        <v>23</v>
      </c>
      <c r="H114" s="124">
        <f t="shared" si="6"/>
        <v>24</v>
      </c>
      <c r="I114" s="92">
        <f t="shared" si="6"/>
        <v>25</v>
      </c>
      <c r="K114" s="122">
        <v>30</v>
      </c>
      <c r="L114" s="103" t="s">
        <v>878</v>
      </c>
      <c r="M114" s="126">
        <v>31</v>
      </c>
      <c r="N114" s="4"/>
      <c r="O114" s="101">
        <f>U113+1</f>
        <v>16</v>
      </c>
      <c r="P114" s="125">
        <f t="shared" si="7"/>
        <v>17</v>
      </c>
      <c r="Q114" s="125">
        <f t="shared" si="7"/>
        <v>18</v>
      </c>
      <c r="R114" s="125">
        <f t="shared" si="7"/>
        <v>19</v>
      </c>
      <c r="S114" s="125">
        <f t="shared" si="7"/>
        <v>20</v>
      </c>
      <c r="T114" s="125">
        <f t="shared" si="7"/>
        <v>21</v>
      </c>
      <c r="U114" s="92">
        <f t="shared" si="7"/>
        <v>22</v>
      </c>
      <c r="W114" s="100">
        <v>34</v>
      </c>
      <c r="X114" s="103" t="s">
        <v>878</v>
      </c>
      <c r="Y114" s="106">
        <v>31</v>
      </c>
      <c r="Z114" s="4"/>
      <c r="AA114" s="101">
        <f>AG113+1</f>
        <v>20</v>
      </c>
      <c r="AB114" s="125">
        <f t="shared" si="8"/>
        <v>21</v>
      </c>
      <c r="AC114" s="125">
        <f t="shared" si="8"/>
        <v>22</v>
      </c>
      <c r="AD114" s="125">
        <f t="shared" si="8"/>
        <v>23</v>
      </c>
      <c r="AE114" s="125">
        <f t="shared" si="8"/>
        <v>24</v>
      </c>
      <c r="AF114" s="125">
        <f t="shared" si="8"/>
        <v>25</v>
      </c>
      <c r="AG114" s="92">
        <f t="shared" si="8"/>
        <v>26</v>
      </c>
      <c r="AI114" s="100">
        <v>39</v>
      </c>
      <c r="AJ114" s="103" t="s">
        <v>878</v>
      </c>
      <c r="AK114" s="106">
        <v>30</v>
      </c>
    </row>
    <row r="115" spans="1:37" x14ac:dyDescent="0.2">
      <c r="A115" s="14">
        <v>115</v>
      </c>
      <c r="C115" s="101">
        <f>I114+1</f>
        <v>26</v>
      </c>
      <c r="D115" s="134">
        <f>C115+1</f>
        <v>27</v>
      </c>
      <c r="E115" s="125">
        <f>D115+1</f>
        <v>28</v>
      </c>
      <c r="F115" s="125">
        <f>E115+1</f>
        <v>29</v>
      </c>
      <c r="G115" s="125">
        <f>F115+1</f>
        <v>30</v>
      </c>
      <c r="H115" s="125">
        <f>G115+1</f>
        <v>31</v>
      </c>
      <c r="I115" s="92"/>
      <c r="K115" s="122">
        <v>31</v>
      </c>
      <c r="L115" s="111"/>
      <c r="M115" s="127"/>
      <c r="N115" s="4"/>
      <c r="O115" s="101">
        <f>U114+1</f>
        <v>23</v>
      </c>
      <c r="P115" s="125">
        <f t="shared" si="7"/>
        <v>24</v>
      </c>
      <c r="Q115" s="125">
        <f t="shared" si="7"/>
        <v>25</v>
      </c>
      <c r="R115" s="125">
        <f t="shared" si="7"/>
        <v>26</v>
      </c>
      <c r="S115" s="125">
        <f t="shared" si="7"/>
        <v>27</v>
      </c>
      <c r="T115" s="125">
        <f t="shared" si="7"/>
        <v>28</v>
      </c>
      <c r="U115" s="92">
        <f t="shared" si="7"/>
        <v>29</v>
      </c>
      <c r="W115" s="100">
        <v>35</v>
      </c>
      <c r="X115" s="111"/>
      <c r="Y115" s="112"/>
      <c r="Z115" s="4"/>
      <c r="AA115" s="101">
        <f>AG114+1</f>
        <v>27</v>
      </c>
      <c r="AB115" s="125">
        <f>AA115+1</f>
        <v>28</v>
      </c>
      <c r="AC115" s="125">
        <f>AB115+1</f>
        <v>29</v>
      </c>
      <c r="AD115" s="125">
        <f>AC115+1</f>
        <v>30</v>
      </c>
      <c r="AE115" s="125"/>
      <c r="AF115" s="125"/>
      <c r="AG115" s="92"/>
      <c r="AI115" s="100">
        <v>40</v>
      </c>
      <c r="AJ115" s="111"/>
      <c r="AK115" s="112"/>
    </row>
    <row r="116" spans="1:37" x14ac:dyDescent="0.2">
      <c r="A116" s="14">
        <v>116</v>
      </c>
      <c r="C116" s="101"/>
      <c r="D116" s="125"/>
      <c r="E116" s="129"/>
      <c r="F116" s="129"/>
      <c r="G116" s="129"/>
      <c r="H116" s="129"/>
      <c r="I116" s="114"/>
      <c r="K116" s="122"/>
      <c r="L116" s="111"/>
      <c r="M116" s="121"/>
      <c r="N116" s="4"/>
      <c r="O116" s="101">
        <f>U115+1</f>
        <v>30</v>
      </c>
      <c r="P116" s="125">
        <f>O116+1</f>
        <v>31</v>
      </c>
      <c r="Q116" s="125"/>
      <c r="R116" s="125"/>
      <c r="S116" s="125"/>
      <c r="T116" s="125"/>
      <c r="U116" s="92"/>
      <c r="W116" s="100">
        <v>36</v>
      </c>
      <c r="X116" s="111"/>
      <c r="Y116" s="4"/>
      <c r="Z116" s="4"/>
      <c r="AA116" s="101"/>
      <c r="AB116" s="125"/>
      <c r="AC116" s="129"/>
      <c r="AD116" s="129"/>
      <c r="AE116" s="129"/>
      <c r="AF116" s="129"/>
      <c r="AG116" s="114"/>
      <c r="AI116" s="116"/>
      <c r="AJ116" s="111"/>
      <c r="AK116" s="4"/>
    </row>
    <row r="117" spans="1:37" x14ac:dyDescent="0.2">
      <c r="A117" s="14">
        <v>117</v>
      </c>
      <c r="C117" s="88"/>
      <c r="D117" s="88"/>
      <c r="E117" s="88"/>
      <c r="F117" s="88"/>
      <c r="G117" s="88"/>
      <c r="H117" s="88"/>
      <c r="I117" s="88"/>
      <c r="K117" s="117"/>
      <c r="L117" s="111"/>
      <c r="M117" s="121"/>
      <c r="N117" s="4"/>
      <c r="O117" s="88"/>
      <c r="P117" s="88"/>
      <c r="Q117" s="88"/>
      <c r="R117" s="88"/>
      <c r="S117" s="88"/>
      <c r="T117" s="88"/>
      <c r="U117" s="88"/>
      <c r="W117" s="119"/>
      <c r="X117" s="111"/>
      <c r="Y117" s="4"/>
      <c r="Z117" s="4"/>
      <c r="AA117" s="4"/>
      <c r="AB117" s="4"/>
      <c r="AC117" s="4"/>
      <c r="AD117" s="4"/>
      <c r="AE117" s="4"/>
      <c r="AF117" s="4"/>
      <c r="AG117" s="4"/>
      <c r="AI117" s="120"/>
      <c r="AJ117" s="111"/>
      <c r="AK117" s="4"/>
    </row>
    <row r="118" spans="1:37" x14ac:dyDescent="0.2">
      <c r="A118" s="14">
        <v>118</v>
      </c>
      <c r="C118" s="87" t="s">
        <v>917</v>
      </c>
      <c r="D118" s="88"/>
      <c r="E118" s="88"/>
      <c r="F118" s="88"/>
      <c r="G118" s="88"/>
      <c r="H118" s="88"/>
      <c r="I118" s="88"/>
      <c r="K118" s="117"/>
      <c r="L118" s="111"/>
      <c r="M118" s="121"/>
      <c r="N118" s="4"/>
      <c r="O118" s="87" t="s">
        <v>918</v>
      </c>
      <c r="P118" s="88"/>
      <c r="Q118" s="88"/>
      <c r="R118" s="88"/>
      <c r="S118" s="88"/>
      <c r="T118" s="88"/>
      <c r="U118" s="88"/>
      <c r="W118" s="119"/>
      <c r="X118" s="111"/>
      <c r="Y118" s="4"/>
      <c r="Z118" s="4"/>
      <c r="AA118" s="87" t="s">
        <v>919</v>
      </c>
      <c r="AB118" s="88"/>
      <c r="AC118" s="88"/>
      <c r="AD118" s="88"/>
      <c r="AE118" s="88"/>
      <c r="AF118" s="88"/>
      <c r="AG118" s="88"/>
      <c r="AI118" s="120"/>
      <c r="AJ118" s="111"/>
      <c r="AK118" s="4"/>
    </row>
    <row r="119" spans="1:37" x14ac:dyDescent="0.2">
      <c r="A119" s="14">
        <v>119</v>
      </c>
      <c r="C119" s="55" t="s">
        <v>3</v>
      </c>
      <c r="D119" s="55" t="s">
        <v>177</v>
      </c>
      <c r="E119" s="55" t="s">
        <v>178</v>
      </c>
      <c r="F119" s="55" t="s">
        <v>178</v>
      </c>
      <c r="G119" s="55" t="s">
        <v>9</v>
      </c>
      <c r="H119" s="55" t="s">
        <v>857</v>
      </c>
      <c r="I119" s="55" t="s">
        <v>854</v>
      </c>
      <c r="K119" s="56" t="s">
        <v>877</v>
      </c>
      <c r="L119" s="111"/>
      <c r="M119" s="121"/>
      <c r="N119" s="4"/>
      <c r="O119" s="55" t="s">
        <v>3</v>
      </c>
      <c r="P119" s="55" t="s">
        <v>177</v>
      </c>
      <c r="Q119" s="55" t="s">
        <v>178</v>
      </c>
      <c r="R119" s="55" t="s">
        <v>178</v>
      </c>
      <c r="S119" s="55" t="s">
        <v>9</v>
      </c>
      <c r="T119" s="55" t="s">
        <v>857</v>
      </c>
      <c r="U119" s="55" t="s">
        <v>854</v>
      </c>
      <c r="W119" s="56" t="s">
        <v>877</v>
      </c>
      <c r="X119" s="111"/>
      <c r="Y119" s="4"/>
      <c r="Z119" s="4"/>
      <c r="AA119" s="55" t="s">
        <v>3</v>
      </c>
      <c r="AB119" s="55" t="s">
        <v>177</v>
      </c>
      <c r="AC119" s="55" t="s">
        <v>178</v>
      </c>
      <c r="AD119" s="55" t="s">
        <v>178</v>
      </c>
      <c r="AE119" s="55" t="s">
        <v>9</v>
      </c>
      <c r="AF119" s="55" t="s">
        <v>857</v>
      </c>
      <c r="AG119" s="55" t="s">
        <v>854</v>
      </c>
      <c r="AI119" s="56" t="s">
        <v>877</v>
      </c>
      <c r="AJ119" s="111"/>
      <c r="AK119" s="4"/>
    </row>
    <row r="120" spans="1:37" x14ac:dyDescent="0.2">
      <c r="A120" s="14">
        <v>120</v>
      </c>
      <c r="C120" s="58"/>
      <c r="D120" s="125"/>
      <c r="E120" s="125"/>
      <c r="F120" s="125"/>
      <c r="G120" s="125">
        <v>1</v>
      </c>
      <c r="H120" s="125">
        <v>2</v>
      </c>
      <c r="I120" s="92">
        <v>3</v>
      </c>
      <c r="K120" s="122">
        <v>40</v>
      </c>
      <c r="L120" s="94"/>
      <c r="M120" s="123"/>
      <c r="N120" s="4"/>
      <c r="O120" s="101">
        <v>1</v>
      </c>
      <c r="P120" s="125">
        <v>2</v>
      </c>
      <c r="Q120" s="125">
        <v>3</v>
      </c>
      <c r="R120" s="125">
        <v>4</v>
      </c>
      <c r="S120" s="125">
        <v>5</v>
      </c>
      <c r="T120" s="125">
        <v>6</v>
      </c>
      <c r="U120" s="92">
        <v>7</v>
      </c>
      <c r="W120" s="100">
        <v>45</v>
      </c>
      <c r="X120" s="94"/>
      <c r="Y120" s="49"/>
      <c r="Z120" s="4"/>
      <c r="AA120" s="58"/>
      <c r="AB120" s="125"/>
      <c r="AC120" s="125">
        <v>1</v>
      </c>
      <c r="AD120" s="125">
        <v>2</v>
      </c>
      <c r="AE120" s="125">
        <v>3</v>
      </c>
      <c r="AF120" s="125">
        <v>4</v>
      </c>
      <c r="AG120" s="92">
        <v>5</v>
      </c>
      <c r="AI120" s="100">
        <v>49</v>
      </c>
      <c r="AJ120" s="94"/>
      <c r="AK120" s="49"/>
    </row>
    <row r="121" spans="1:37" x14ac:dyDescent="0.2">
      <c r="A121" s="14">
        <v>121</v>
      </c>
      <c r="C121" s="101">
        <f>I120+1</f>
        <v>4</v>
      </c>
      <c r="D121" s="125">
        <f t="shared" ref="D121:I124" si="9">C121+1</f>
        <v>5</v>
      </c>
      <c r="E121" s="125">
        <f t="shared" si="9"/>
        <v>6</v>
      </c>
      <c r="F121" s="125">
        <f t="shared" si="9"/>
        <v>7</v>
      </c>
      <c r="G121" s="125">
        <f t="shared" si="9"/>
        <v>8</v>
      </c>
      <c r="H121" s="125">
        <f t="shared" si="9"/>
        <v>9</v>
      </c>
      <c r="I121" s="92">
        <f t="shared" si="9"/>
        <v>10</v>
      </c>
      <c r="K121" s="122">
        <v>41</v>
      </c>
      <c r="L121" s="103" t="s">
        <v>418</v>
      </c>
      <c r="M121" s="126">
        <v>4</v>
      </c>
      <c r="N121" s="4"/>
      <c r="O121" s="101">
        <f>U120+1</f>
        <v>8</v>
      </c>
      <c r="P121" s="125">
        <f t="shared" ref="P121:U123" si="10">O121+1</f>
        <v>9</v>
      </c>
      <c r="Q121" s="125">
        <f t="shared" si="10"/>
        <v>10</v>
      </c>
      <c r="R121" s="125">
        <f t="shared" si="10"/>
        <v>11</v>
      </c>
      <c r="S121" s="125">
        <f t="shared" si="10"/>
        <v>12</v>
      </c>
      <c r="T121" s="125">
        <f t="shared" si="10"/>
        <v>13</v>
      </c>
      <c r="U121" s="92">
        <f t="shared" si="10"/>
        <v>14</v>
      </c>
      <c r="W121" s="100">
        <v>46</v>
      </c>
      <c r="X121" s="103" t="s">
        <v>418</v>
      </c>
      <c r="Y121" s="106">
        <v>5</v>
      </c>
      <c r="Z121" s="4"/>
      <c r="AA121" s="101">
        <f>AG120+1</f>
        <v>6</v>
      </c>
      <c r="AB121" s="125">
        <f t="shared" ref="AB121:AG123" si="11">AA121+1</f>
        <v>7</v>
      </c>
      <c r="AC121" s="125">
        <f t="shared" si="11"/>
        <v>8</v>
      </c>
      <c r="AD121" s="125">
        <f t="shared" si="11"/>
        <v>9</v>
      </c>
      <c r="AE121" s="125">
        <f t="shared" si="11"/>
        <v>10</v>
      </c>
      <c r="AF121" s="125">
        <f t="shared" si="11"/>
        <v>11</v>
      </c>
      <c r="AG121" s="92">
        <f t="shared" si="11"/>
        <v>12</v>
      </c>
      <c r="AI121" s="100">
        <v>50</v>
      </c>
      <c r="AJ121" s="103" t="s">
        <v>418</v>
      </c>
      <c r="AK121" s="106">
        <v>4</v>
      </c>
    </row>
    <row r="122" spans="1:37" x14ac:dyDescent="0.2">
      <c r="A122" s="14">
        <v>122</v>
      </c>
      <c r="C122" s="101">
        <f>I121+1</f>
        <v>11</v>
      </c>
      <c r="D122" s="124">
        <f t="shared" si="9"/>
        <v>12</v>
      </c>
      <c r="E122" s="125">
        <f t="shared" si="9"/>
        <v>13</v>
      </c>
      <c r="F122" s="125">
        <f t="shared" si="9"/>
        <v>14</v>
      </c>
      <c r="G122" s="125">
        <f t="shared" si="9"/>
        <v>15</v>
      </c>
      <c r="H122" s="125">
        <f t="shared" si="9"/>
        <v>16</v>
      </c>
      <c r="I122" s="92">
        <f t="shared" si="9"/>
        <v>17</v>
      </c>
      <c r="K122" s="122">
        <v>42</v>
      </c>
      <c r="L122" s="103" t="s">
        <v>425</v>
      </c>
      <c r="M122" s="126">
        <v>5</v>
      </c>
      <c r="N122" s="4"/>
      <c r="O122" s="101">
        <f>U121+1</f>
        <v>15</v>
      </c>
      <c r="P122" s="125">
        <f t="shared" si="10"/>
        <v>16</v>
      </c>
      <c r="Q122" s="125">
        <f t="shared" si="10"/>
        <v>17</v>
      </c>
      <c r="R122" s="125">
        <f t="shared" si="10"/>
        <v>18</v>
      </c>
      <c r="S122" s="125">
        <f t="shared" si="10"/>
        <v>19</v>
      </c>
      <c r="T122" s="125">
        <f t="shared" si="10"/>
        <v>20</v>
      </c>
      <c r="U122" s="92">
        <f t="shared" si="10"/>
        <v>21</v>
      </c>
      <c r="W122" s="100">
        <v>47</v>
      </c>
      <c r="X122" s="103" t="s">
        <v>425</v>
      </c>
      <c r="Y122" s="106">
        <v>4</v>
      </c>
      <c r="Z122" s="4"/>
      <c r="AA122" s="101">
        <f>AG121+1</f>
        <v>13</v>
      </c>
      <c r="AB122" s="125">
        <f t="shared" si="11"/>
        <v>14</v>
      </c>
      <c r="AC122" s="125">
        <f t="shared" si="11"/>
        <v>15</v>
      </c>
      <c r="AD122" s="125">
        <f t="shared" si="11"/>
        <v>16</v>
      </c>
      <c r="AE122" s="125">
        <f t="shared" si="11"/>
        <v>17</v>
      </c>
      <c r="AF122" s="125">
        <f t="shared" si="11"/>
        <v>18</v>
      </c>
      <c r="AG122" s="92">
        <f t="shared" si="11"/>
        <v>19</v>
      </c>
      <c r="AI122" s="100">
        <v>51</v>
      </c>
      <c r="AJ122" s="103" t="s">
        <v>425</v>
      </c>
      <c r="AK122" s="106">
        <v>4</v>
      </c>
    </row>
    <row r="123" spans="1:37" x14ac:dyDescent="0.2">
      <c r="A123" s="14">
        <v>123</v>
      </c>
      <c r="C123" s="101">
        <f>I122+1</f>
        <v>18</v>
      </c>
      <c r="D123" s="125">
        <f t="shared" si="9"/>
        <v>19</v>
      </c>
      <c r="E123" s="125">
        <f t="shared" si="9"/>
        <v>20</v>
      </c>
      <c r="F123" s="125">
        <f t="shared" si="9"/>
        <v>21</v>
      </c>
      <c r="G123" s="125">
        <f t="shared" si="9"/>
        <v>22</v>
      </c>
      <c r="H123" s="125">
        <f t="shared" si="9"/>
        <v>23</v>
      </c>
      <c r="I123" s="92">
        <f t="shared" si="9"/>
        <v>24</v>
      </c>
      <c r="K123" s="122">
        <v>43</v>
      </c>
      <c r="L123" s="103" t="s">
        <v>878</v>
      </c>
      <c r="M123" s="126">
        <v>31</v>
      </c>
      <c r="N123" s="4"/>
      <c r="O123" s="101">
        <f>U122+1</f>
        <v>22</v>
      </c>
      <c r="P123" s="125">
        <f t="shared" si="10"/>
        <v>23</v>
      </c>
      <c r="Q123" s="125">
        <f t="shared" si="10"/>
        <v>24</v>
      </c>
      <c r="R123" s="125">
        <f t="shared" si="10"/>
        <v>25</v>
      </c>
      <c r="S123" s="125">
        <f t="shared" si="10"/>
        <v>26</v>
      </c>
      <c r="T123" s="125">
        <f t="shared" si="10"/>
        <v>27</v>
      </c>
      <c r="U123" s="92">
        <f t="shared" si="10"/>
        <v>28</v>
      </c>
      <c r="W123" s="100">
        <v>48</v>
      </c>
      <c r="X123" s="103" t="s">
        <v>878</v>
      </c>
      <c r="Y123" s="106">
        <v>30</v>
      </c>
      <c r="Z123" s="4"/>
      <c r="AA123" s="101">
        <f>AG122+1</f>
        <v>20</v>
      </c>
      <c r="AB123" s="125">
        <f t="shared" si="11"/>
        <v>21</v>
      </c>
      <c r="AC123" s="125">
        <f t="shared" si="11"/>
        <v>22</v>
      </c>
      <c r="AD123" s="125">
        <f t="shared" si="11"/>
        <v>23</v>
      </c>
      <c r="AE123" s="125">
        <f t="shared" si="11"/>
        <v>24</v>
      </c>
      <c r="AF123" s="124">
        <f t="shared" si="11"/>
        <v>25</v>
      </c>
      <c r="AG123" s="92">
        <f t="shared" si="11"/>
        <v>26</v>
      </c>
      <c r="AI123" s="100">
        <v>52</v>
      </c>
      <c r="AJ123" s="103" t="s">
        <v>878</v>
      </c>
      <c r="AK123" s="106">
        <v>31</v>
      </c>
    </row>
    <row r="124" spans="1:37" x14ac:dyDescent="0.2">
      <c r="A124" s="14">
        <v>124</v>
      </c>
      <c r="C124" s="101">
        <f>I123+1</f>
        <v>25</v>
      </c>
      <c r="D124" s="125">
        <f t="shared" si="9"/>
        <v>26</v>
      </c>
      <c r="E124" s="125">
        <f t="shared" si="9"/>
        <v>27</v>
      </c>
      <c r="F124" s="125">
        <f t="shared" si="9"/>
        <v>28</v>
      </c>
      <c r="G124" s="125">
        <f t="shared" si="9"/>
        <v>29</v>
      </c>
      <c r="H124" s="125">
        <f t="shared" si="9"/>
        <v>30</v>
      </c>
      <c r="I124" s="92">
        <f t="shared" si="9"/>
        <v>31</v>
      </c>
      <c r="K124" s="122">
        <v>44</v>
      </c>
      <c r="L124" s="4"/>
      <c r="M124" s="112"/>
      <c r="N124" s="4"/>
      <c r="O124" s="101">
        <f>U123+1</f>
        <v>29</v>
      </c>
      <c r="P124" s="125">
        <f>O124+1</f>
        <v>30</v>
      </c>
      <c r="Q124" s="125"/>
      <c r="R124" s="125"/>
      <c r="S124" s="125"/>
      <c r="T124" s="125"/>
      <c r="U124" s="92"/>
      <c r="W124" s="100">
        <v>49</v>
      </c>
      <c r="X124" s="111"/>
      <c r="Y124" s="112"/>
      <c r="Z124" s="4"/>
      <c r="AA124" s="101">
        <f>AG123+1</f>
        <v>27</v>
      </c>
      <c r="AB124" s="125">
        <f>AA124+1</f>
        <v>28</v>
      </c>
      <c r="AC124" s="125">
        <f>AB124+1</f>
        <v>29</v>
      </c>
      <c r="AD124" s="125">
        <f>AC124+1</f>
        <v>30</v>
      </c>
      <c r="AE124" s="125">
        <f>AD124+1</f>
        <v>31</v>
      </c>
      <c r="AF124" s="125"/>
      <c r="AG124" s="92"/>
      <c r="AI124" s="100"/>
      <c r="AJ124" s="111"/>
      <c r="AK124" s="4"/>
    </row>
    <row r="125" spans="1:37" x14ac:dyDescent="0.2">
      <c r="A125" s="14">
        <v>125</v>
      </c>
      <c r="C125" s="101"/>
      <c r="D125" s="125"/>
      <c r="E125" s="125"/>
      <c r="F125" s="129"/>
      <c r="G125" s="129"/>
      <c r="H125" s="129"/>
      <c r="I125" s="114"/>
      <c r="K125" s="122"/>
      <c r="L125" s="4"/>
      <c r="M125" s="4"/>
      <c r="N125" s="4"/>
      <c r="O125" s="101"/>
      <c r="P125" s="125"/>
      <c r="Q125" s="129"/>
      <c r="R125" s="129"/>
      <c r="S125" s="129"/>
      <c r="T125" s="129"/>
      <c r="U125" s="114"/>
      <c r="V125" s="133"/>
      <c r="W125" s="100"/>
      <c r="X125" s="4"/>
      <c r="Y125" s="4"/>
      <c r="Z125" s="4"/>
      <c r="AA125" s="101"/>
      <c r="AB125" s="125"/>
      <c r="AC125" s="129"/>
      <c r="AD125" s="129"/>
      <c r="AE125" s="129"/>
      <c r="AF125" s="129"/>
      <c r="AG125" s="114"/>
      <c r="AI125" s="116"/>
      <c r="AJ125" s="4"/>
      <c r="AK125" s="4"/>
    </row>
    <row r="126" spans="1:37" x14ac:dyDescent="0.2">
      <c r="A126" s="14">
        <v>126</v>
      </c>
      <c r="C126" s="88"/>
      <c r="D126" s="88"/>
      <c r="E126" s="88"/>
      <c r="F126" s="88"/>
      <c r="G126" s="88"/>
      <c r="H126" s="88"/>
      <c r="I126" s="8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88"/>
      <c r="AB126" s="88"/>
      <c r="AC126" s="88"/>
      <c r="AD126" s="88"/>
      <c r="AE126" s="88"/>
      <c r="AF126" s="88"/>
      <c r="AG126" s="88"/>
      <c r="AH126" s="4"/>
      <c r="AI126" s="4"/>
      <c r="AJ126" s="4"/>
      <c r="AK126" s="4"/>
    </row>
    <row r="127" spans="1:37" ht="12.75" x14ac:dyDescent="0.2">
      <c r="A127" s="14">
        <v>127</v>
      </c>
      <c r="C127" s="157"/>
      <c r="D127" s="141"/>
      <c r="E127" s="141"/>
      <c r="F127" s="141"/>
      <c r="G127" s="141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1"/>
      <c r="S127" s="140"/>
      <c r="T127" s="140"/>
      <c r="U127" s="140"/>
      <c r="V127" s="140"/>
      <c r="W127" s="140"/>
      <c r="X127" s="142" t="s">
        <v>907</v>
      </c>
      <c r="Y127" s="141"/>
      <c r="Z127" s="4"/>
      <c r="AA127" s="88"/>
      <c r="AB127" s="88"/>
      <c r="AC127" s="88"/>
      <c r="AD127" s="88"/>
      <c r="AH127" s="153" t="s">
        <v>888</v>
      </c>
      <c r="AI127" s="144">
        <f>(M94+Y94+AK94+M103+Y103+AK103+M112+Y112+AK112+M121+Y121+AK121)</f>
        <v>52</v>
      </c>
    </row>
    <row r="128" spans="1:37" x14ac:dyDescent="0.2">
      <c r="A128" s="14">
        <v>128</v>
      </c>
      <c r="Z128" s="4"/>
      <c r="AA128" s="88"/>
      <c r="AB128" s="88"/>
      <c r="AC128" s="88"/>
      <c r="AD128" s="88"/>
      <c r="AH128" s="153" t="s">
        <v>889</v>
      </c>
      <c r="AI128" s="145">
        <f>(M95+Y95+AK95+M104+Y104+AK104+M113+Y113+AK113+M122+Y122+AK122)</f>
        <v>52</v>
      </c>
    </row>
    <row r="129" spans="1:38" x14ac:dyDescent="0.2">
      <c r="A129" s="14">
        <v>129</v>
      </c>
      <c r="C129" s="135"/>
      <c r="H129" s="4"/>
      <c r="I129" s="4"/>
      <c r="J129" s="4"/>
      <c r="K129" s="4"/>
      <c r="L129" s="4"/>
      <c r="M129" s="4"/>
      <c r="N129" s="4"/>
      <c r="O129" s="4"/>
      <c r="P129" s="4"/>
      <c r="Q129" s="4"/>
      <c r="S129" s="4"/>
      <c r="T129" s="4"/>
      <c r="U129" s="4"/>
      <c r="V129" s="4"/>
      <c r="W129" s="4"/>
      <c r="Z129" s="4"/>
      <c r="AA129" s="88"/>
      <c r="AB129" s="88"/>
      <c r="AC129" s="88"/>
      <c r="AD129" s="88"/>
      <c r="AH129" s="153" t="s">
        <v>890</v>
      </c>
      <c r="AI129" s="154">
        <f>(M96+Y96+AK96+M105+Y105+AK105+M114+Y114+AK114+M123+Y123+AK123)</f>
        <v>365</v>
      </c>
      <c r="AJ129" s="147" t="str">
        <f>IF(AI129&gt;365,"BISIESTO","NORMAL")</f>
        <v>NORMAL</v>
      </c>
      <c r="AL129" s="158"/>
    </row>
    <row r="130" spans="1:38" x14ac:dyDescent="0.2">
      <c r="A130" s="14">
        <v>130</v>
      </c>
      <c r="C130" s="135"/>
      <c r="H130" s="4"/>
      <c r="I130" s="4"/>
      <c r="J130" s="4"/>
      <c r="K130" s="4"/>
      <c r="L130" s="4"/>
      <c r="M130" s="4"/>
      <c r="N130" s="4"/>
      <c r="O130" s="4"/>
      <c r="P130" s="4"/>
      <c r="Q130" s="4"/>
      <c r="S130" s="4"/>
      <c r="T130" s="4"/>
      <c r="U130" s="4"/>
      <c r="V130" s="4"/>
      <c r="W130" s="4"/>
      <c r="Z130" s="4"/>
      <c r="AA130" s="88"/>
      <c r="AB130" s="88"/>
      <c r="AC130" s="88"/>
      <c r="AD130" s="88"/>
      <c r="AH130" s="153" t="s">
        <v>892</v>
      </c>
      <c r="AI130" s="149">
        <v>52</v>
      </c>
    </row>
    <row r="131" spans="1:38" x14ac:dyDescent="0.2">
      <c r="A131" s="14">
        <v>131</v>
      </c>
      <c r="C131" s="135"/>
      <c r="H131" s="4"/>
      <c r="I131" s="4"/>
      <c r="J131" s="4"/>
      <c r="K131" s="4"/>
      <c r="L131" s="4"/>
      <c r="M131" s="4"/>
      <c r="N131" s="4"/>
      <c r="O131" s="4"/>
      <c r="P131" s="4"/>
      <c r="Q131" s="4"/>
      <c r="S131" s="4"/>
      <c r="T131" s="4"/>
      <c r="U131" s="4"/>
      <c r="V131" s="4"/>
      <c r="W131" s="4"/>
      <c r="Z131" s="4"/>
      <c r="AA131" s="88"/>
      <c r="AB131" s="88"/>
      <c r="AC131" s="88"/>
      <c r="AD131" s="88"/>
    </row>
    <row r="132" spans="1:38" ht="12.75" x14ac:dyDescent="0.2">
      <c r="A132" s="14">
        <v>132</v>
      </c>
      <c r="C132" s="85" t="s">
        <v>920</v>
      </c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</row>
    <row r="133" spans="1:38" x14ac:dyDescent="0.2">
      <c r="A133" s="14">
        <v>133</v>
      </c>
    </row>
    <row r="134" spans="1:38" x14ac:dyDescent="0.2">
      <c r="A134" s="14">
        <v>134</v>
      </c>
      <c r="C134" s="87" t="s">
        <v>921</v>
      </c>
      <c r="D134" s="88"/>
      <c r="E134" s="88"/>
      <c r="F134" s="88"/>
      <c r="G134" s="88"/>
      <c r="H134" s="88"/>
      <c r="I134" s="88"/>
      <c r="J134" s="4"/>
      <c r="K134" s="4"/>
      <c r="L134" s="89"/>
      <c r="M134" s="90"/>
      <c r="N134" s="4"/>
      <c r="O134" s="87" t="s">
        <v>922</v>
      </c>
      <c r="P134" s="88"/>
      <c r="Q134" s="88"/>
      <c r="R134" s="88"/>
      <c r="S134" s="88"/>
      <c r="T134" s="88"/>
      <c r="U134" s="88"/>
      <c r="V134" s="4"/>
      <c r="W134" s="4"/>
      <c r="X134" s="4"/>
      <c r="Y134" s="4"/>
      <c r="Z134" s="4"/>
      <c r="AA134" s="87" t="s">
        <v>923</v>
      </c>
      <c r="AB134" s="88"/>
      <c r="AC134" s="88"/>
      <c r="AD134" s="88"/>
      <c r="AE134" s="88"/>
      <c r="AF134" s="88"/>
      <c r="AG134" s="88"/>
      <c r="AH134" s="4"/>
      <c r="AI134" s="4"/>
      <c r="AJ134" s="4"/>
      <c r="AK134" s="4"/>
    </row>
    <row r="135" spans="1:38" x14ac:dyDescent="0.2">
      <c r="A135" s="14">
        <v>135</v>
      </c>
      <c r="C135" s="55" t="s">
        <v>3</v>
      </c>
      <c r="D135" s="55" t="s">
        <v>177</v>
      </c>
      <c r="E135" s="55" t="s">
        <v>178</v>
      </c>
      <c r="F135" s="55" t="s">
        <v>178</v>
      </c>
      <c r="G135" s="55" t="s">
        <v>9</v>
      </c>
      <c r="H135" s="55" t="s">
        <v>857</v>
      </c>
      <c r="I135" s="55" t="s">
        <v>854</v>
      </c>
      <c r="K135" s="56" t="s">
        <v>877</v>
      </c>
      <c r="L135" s="4"/>
      <c r="M135" s="4"/>
      <c r="N135" s="4"/>
      <c r="O135" s="55" t="s">
        <v>3</v>
      </c>
      <c r="P135" s="55" t="s">
        <v>177</v>
      </c>
      <c r="Q135" s="55" t="s">
        <v>178</v>
      </c>
      <c r="R135" s="55" t="s">
        <v>178</v>
      </c>
      <c r="S135" s="55" t="s">
        <v>9</v>
      </c>
      <c r="T135" s="55" t="s">
        <v>857</v>
      </c>
      <c r="U135" s="55" t="s">
        <v>854</v>
      </c>
      <c r="W135" s="56" t="s">
        <v>877</v>
      </c>
      <c r="X135" s="4"/>
      <c r="Y135" s="57"/>
      <c r="Z135" s="4"/>
      <c r="AA135" s="55" t="s">
        <v>3</v>
      </c>
      <c r="AB135" s="55" t="s">
        <v>177</v>
      </c>
      <c r="AC135" s="55" t="s">
        <v>178</v>
      </c>
      <c r="AD135" s="55" t="s">
        <v>178</v>
      </c>
      <c r="AE135" s="55" t="s">
        <v>9</v>
      </c>
      <c r="AF135" s="55" t="s">
        <v>857</v>
      </c>
      <c r="AG135" s="55" t="s">
        <v>854</v>
      </c>
      <c r="AI135" s="56" t="s">
        <v>877</v>
      </c>
      <c r="AJ135" s="4"/>
      <c r="AK135" s="4"/>
    </row>
    <row r="136" spans="1:38" x14ac:dyDescent="0.2">
      <c r="A136" s="14">
        <v>136</v>
      </c>
      <c r="C136" s="58"/>
      <c r="D136" s="91"/>
      <c r="E136" s="156"/>
      <c r="F136" s="91"/>
      <c r="G136" s="102"/>
      <c r="H136" s="131">
        <v>1</v>
      </c>
      <c r="I136" s="92">
        <f>H136+1</f>
        <v>2</v>
      </c>
      <c r="K136" s="93">
        <v>1</v>
      </c>
      <c r="L136" s="94"/>
      <c r="M136" s="95"/>
      <c r="N136" s="96"/>
      <c r="O136" s="101"/>
      <c r="P136" s="91">
        <v>1</v>
      </c>
      <c r="Q136" s="91">
        <f>P136+1</f>
        <v>2</v>
      </c>
      <c r="R136" s="91">
        <f>Q136+1</f>
        <v>3</v>
      </c>
      <c r="S136" s="91">
        <f>R136+1</f>
        <v>4</v>
      </c>
      <c r="T136" s="91">
        <f>S136+1</f>
        <v>5</v>
      </c>
      <c r="U136" s="92">
        <f>T136+1</f>
        <v>6</v>
      </c>
      <c r="W136" s="98">
        <v>6</v>
      </c>
      <c r="X136" s="94"/>
      <c r="Y136" s="99"/>
      <c r="Z136" s="96"/>
      <c r="AA136" s="101"/>
      <c r="AB136" s="91">
        <v>1</v>
      </c>
      <c r="AC136" s="91">
        <f t="shared" ref="AB136:AG139" si="12">AB136+1</f>
        <v>2</v>
      </c>
      <c r="AD136" s="91">
        <f t="shared" si="12"/>
        <v>3</v>
      </c>
      <c r="AE136" s="91">
        <f t="shared" si="12"/>
        <v>4</v>
      </c>
      <c r="AF136" s="91">
        <f t="shared" si="12"/>
        <v>5</v>
      </c>
      <c r="AG136" s="92">
        <f>AF136+1</f>
        <v>6</v>
      </c>
      <c r="AI136" s="100">
        <v>10</v>
      </c>
      <c r="AJ136" s="94"/>
      <c r="AK136" s="49"/>
    </row>
    <row r="137" spans="1:38" x14ac:dyDescent="0.2">
      <c r="A137" s="14">
        <v>137</v>
      </c>
      <c r="C137" s="101">
        <f>I136+1</f>
        <v>3</v>
      </c>
      <c r="D137" s="91">
        <f t="shared" ref="D137:H140" si="13">C137+1</f>
        <v>4</v>
      </c>
      <c r="E137" s="91">
        <f t="shared" si="13"/>
        <v>5</v>
      </c>
      <c r="F137" s="91">
        <f t="shared" si="13"/>
        <v>6</v>
      </c>
      <c r="G137" s="91">
        <f t="shared" si="13"/>
        <v>7</v>
      </c>
      <c r="H137" s="91">
        <f t="shared" si="13"/>
        <v>8</v>
      </c>
      <c r="I137" s="92">
        <f>H137+1</f>
        <v>9</v>
      </c>
      <c r="K137" s="93">
        <v>2</v>
      </c>
      <c r="L137" s="103" t="s">
        <v>418</v>
      </c>
      <c r="M137" s="104">
        <v>5</v>
      </c>
      <c r="N137" s="96"/>
      <c r="O137" s="101">
        <f>U136+1</f>
        <v>7</v>
      </c>
      <c r="P137" s="91">
        <f t="shared" ref="P137:U139" si="14">O137+1</f>
        <v>8</v>
      </c>
      <c r="Q137" s="91">
        <f t="shared" si="14"/>
        <v>9</v>
      </c>
      <c r="R137" s="91">
        <f t="shared" si="14"/>
        <v>10</v>
      </c>
      <c r="S137" s="91">
        <f t="shared" si="14"/>
        <v>11</v>
      </c>
      <c r="T137" s="91">
        <f t="shared" si="14"/>
        <v>12</v>
      </c>
      <c r="U137" s="92">
        <f t="shared" si="14"/>
        <v>13</v>
      </c>
      <c r="W137" s="98">
        <v>7</v>
      </c>
      <c r="X137" s="103" t="s">
        <v>418</v>
      </c>
      <c r="Y137" s="105">
        <v>4</v>
      </c>
      <c r="Z137" s="96"/>
      <c r="AA137" s="101">
        <f>AG136+1</f>
        <v>7</v>
      </c>
      <c r="AB137" s="91">
        <f t="shared" si="12"/>
        <v>8</v>
      </c>
      <c r="AC137" s="91">
        <f t="shared" si="12"/>
        <v>9</v>
      </c>
      <c r="AD137" s="91">
        <f t="shared" si="12"/>
        <v>10</v>
      </c>
      <c r="AE137" s="91">
        <f t="shared" si="12"/>
        <v>11</v>
      </c>
      <c r="AF137" s="91">
        <f t="shared" si="12"/>
        <v>12</v>
      </c>
      <c r="AG137" s="92">
        <f t="shared" si="12"/>
        <v>13</v>
      </c>
      <c r="AI137" s="100">
        <v>11</v>
      </c>
      <c r="AJ137" s="103" t="s">
        <v>418</v>
      </c>
      <c r="AK137" s="106">
        <v>4</v>
      </c>
    </row>
    <row r="138" spans="1:38" x14ac:dyDescent="0.2">
      <c r="A138" s="14">
        <v>138</v>
      </c>
      <c r="C138" s="101">
        <f>I137+1</f>
        <v>10</v>
      </c>
      <c r="D138" s="91">
        <f t="shared" si="13"/>
        <v>11</v>
      </c>
      <c r="E138" s="91">
        <f t="shared" si="13"/>
        <v>12</v>
      </c>
      <c r="F138" s="91">
        <f t="shared" si="13"/>
        <v>13</v>
      </c>
      <c r="G138" s="91">
        <f t="shared" si="13"/>
        <v>14</v>
      </c>
      <c r="H138" s="91">
        <f t="shared" si="13"/>
        <v>15</v>
      </c>
      <c r="I138" s="92">
        <f>H138+1</f>
        <v>16</v>
      </c>
      <c r="K138" s="93">
        <v>3</v>
      </c>
      <c r="L138" s="103" t="s">
        <v>425</v>
      </c>
      <c r="M138" s="104">
        <v>5</v>
      </c>
      <c r="N138" s="96"/>
      <c r="O138" s="101">
        <f>U137+1</f>
        <v>14</v>
      </c>
      <c r="P138" s="91">
        <f t="shared" si="14"/>
        <v>15</v>
      </c>
      <c r="Q138" s="91">
        <f t="shared" si="14"/>
        <v>16</v>
      </c>
      <c r="R138" s="91">
        <f t="shared" si="14"/>
        <v>17</v>
      </c>
      <c r="S138" s="91">
        <f t="shared" si="14"/>
        <v>18</v>
      </c>
      <c r="T138" s="91">
        <f t="shared" si="14"/>
        <v>19</v>
      </c>
      <c r="U138" s="92">
        <f t="shared" si="14"/>
        <v>20</v>
      </c>
      <c r="W138" s="98">
        <v>8</v>
      </c>
      <c r="X138" s="103" t="s">
        <v>425</v>
      </c>
      <c r="Y138" s="105">
        <v>4</v>
      </c>
      <c r="Z138" s="96"/>
      <c r="AA138" s="101">
        <f>AG137+1</f>
        <v>14</v>
      </c>
      <c r="AB138" s="91">
        <f t="shared" si="12"/>
        <v>15</v>
      </c>
      <c r="AC138" s="91">
        <f t="shared" si="12"/>
        <v>16</v>
      </c>
      <c r="AD138" s="91">
        <f t="shared" si="12"/>
        <v>17</v>
      </c>
      <c r="AE138" s="91">
        <f t="shared" si="12"/>
        <v>18</v>
      </c>
      <c r="AF138" s="91">
        <f t="shared" si="12"/>
        <v>19</v>
      </c>
      <c r="AG138" s="92">
        <f t="shared" si="12"/>
        <v>20</v>
      </c>
      <c r="AI138" s="100">
        <v>12</v>
      </c>
      <c r="AJ138" s="103" t="s">
        <v>425</v>
      </c>
      <c r="AK138" s="106">
        <v>4</v>
      </c>
    </row>
    <row r="139" spans="1:38" x14ac:dyDescent="0.2">
      <c r="A139" s="14">
        <v>139</v>
      </c>
      <c r="C139" s="101">
        <f>I138+1</f>
        <v>17</v>
      </c>
      <c r="D139" s="91">
        <f t="shared" si="13"/>
        <v>18</v>
      </c>
      <c r="E139" s="91">
        <f t="shared" si="13"/>
        <v>19</v>
      </c>
      <c r="F139" s="91">
        <f t="shared" si="13"/>
        <v>20</v>
      </c>
      <c r="G139" s="91">
        <f t="shared" si="13"/>
        <v>21</v>
      </c>
      <c r="H139" s="91">
        <f t="shared" si="13"/>
        <v>22</v>
      </c>
      <c r="I139" s="92">
        <f>H139+1</f>
        <v>23</v>
      </c>
      <c r="K139" s="93">
        <v>4</v>
      </c>
      <c r="L139" s="103" t="s">
        <v>878</v>
      </c>
      <c r="M139" s="104">
        <v>31</v>
      </c>
      <c r="N139" s="96"/>
      <c r="O139" s="101">
        <f>U138+1</f>
        <v>21</v>
      </c>
      <c r="P139" s="91">
        <f t="shared" si="14"/>
        <v>22</v>
      </c>
      <c r="Q139" s="91">
        <f t="shared" si="14"/>
        <v>23</v>
      </c>
      <c r="R139" s="91">
        <f t="shared" si="14"/>
        <v>24</v>
      </c>
      <c r="S139" s="91">
        <f t="shared" si="14"/>
        <v>25</v>
      </c>
      <c r="T139" s="91">
        <f t="shared" si="14"/>
        <v>26</v>
      </c>
      <c r="U139" s="92">
        <f t="shared" si="14"/>
        <v>27</v>
      </c>
      <c r="W139" s="98">
        <v>9</v>
      </c>
      <c r="X139" s="103" t="s">
        <v>878</v>
      </c>
      <c r="Y139" s="105">
        <v>28</v>
      </c>
      <c r="Z139" s="96"/>
      <c r="AA139" s="101">
        <f>AG138+1</f>
        <v>21</v>
      </c>
      <c r="AB139" s="91">
        <f t="shared" si="12"/>
        <v>22</v>
      </c>
      <c r="AC139" s="91">
        <f t="shared" si="12"/>
        <v>23</v>
      </c>
      <c r="AD139" s="91">
        <f t="shared" si="12"/>
        <v>24</v>
      </c>
      <c r="AE139" s="124">
        <f t="shared" si="12"/>
        <v>25</v>
      </c>
      <c r="AF139" s="131">
        <f t="shared" si="12"/>
        <v>26</v>
      </c>
      <c r="AG139" s="92">
        <f t="shared" si="12"/>
        <v>27</v>
      </c>
      <c r="AI139" s="100">
        <v>13</v>
      </c>
      <c r="AJ139" s="103" t="s">
        <v>878</v>
      </c>
      <c r="AK139" s="106">
        <v>31</v>
      </c>
    </row>
    <row r="140" spans="1:38" x14ac:dyDescent="0.2">
      <c r="A140" s="14">
        <v>140</v>
      </c>
      <c r="C140" s="101">
        <f>I139+1</f>
        <v>24</v>
      </c>
      <c r="D140" s="91">
        <f t="shared" si="13"/>
        <v>25</v>
      </c>
      <c r="E140" s="91">
        <f t="shared" si="13"/>
        <v>26</v>
      </c>
      <c r="F140" s="91">
        <f t="shared" si="13"/>
        <v>27</v>
      </c>
      <c r="G140" s="91">
        <f t="shared" si="13"/>
        <v>28</v>
      </c>
      <c r="H140" s="91">
        <f t="shared" si="13"/>
        <v>29</v>
      </c>
      <c r="I140" s="92">
        <f>H140+1</f>
        <v>30</v>
      </c>
      <c r="K140" s="93">
        <v>5</v>
      </c>
      <c r="L140" s="107"/>
      <c r="M140" s="108"/>
      <c r="N140" s="96"/>
      <c r="O140" s="101">
        <v>28</v>
      </c>
      <c r="P140" s="91"/>
      <c r="Q140" s="91"/>
      <c r="R140" s="91"/>
      <c r="S140" s="91"/>
      <c r="T140" s="91"/>
      <c r="U140" s="92"/>
      <c r="W140" s="98">
        <v>10</v>
      </c>
      <c r="X140" s="107"/>
      <c r="Y140" s="109"/>
      <c r="Z140" s="96"/>
      <c r="AA140" s="101">
        <f>AG139+1</f>
        <v>28</v>
      </c>
      <c r="AB140" s="91">
        <f>AA140+1</f>
        <v>29</v>
      </c>
      <c r="AC140" s="91">
        <f>AB140+1</f>
        <v>30</v>
      </c>
      <c r="AD140" s="134">
        <v>31</v>
      </c>
      <c r="AE140" s="91"/>
      <c r="AF140" s="91"/>
      <c r="AG140" s="92"/>
      <c r="AI140" s="100">
        <v>14</v>
      </c>
      <c r="AJ140" s="111"/>
      <c r="AK140" s="112"/>
    </row>
    <row r="141" spans="1:38" x14ac:dyDescent="0.2">
      <c r="A141" s="14">
        <v>141</v>
      </c>
      <c r="C141" s="101">
        <v>31</v>
      </c>
      <c r="D141" s="91"/>
      <c r="E141" s="91"/>
      <c r="F141" s="113"/>
      <c r="G141" s="113"/>
      <c r="H141" s="113"/>
      <c r="I141" s="114"/>
      <c r="K141" s="93">
        <v>6</v>
      </c>
      <c r="L141" s="107"/>
      <c r="M141" s="115"/>
      <c r="N141" s="96"/>
      <c r="O141" s="101"/>
      <c r="P141" s="91"/>
      <c r="Q141" s="113"/>
      <c r="R141" s="113"/>
      <c r="S141" s="113"/>
      <c r="T141" s="113"/>
      <c r="U141" s="114"/>
      <c r="W141" s="98"/>
      <c r="X141" s="107"/>
      <c r="Y141" s="96"/>
      <c r="Z141" s="96"/>
      <c r="AA141" s="101"/>
      <c r="AB141" s="91"/>
      <c r="AC141" s="113"/>
      <c r="AD141" s="113"/>
      <c r="AE141" s="113"/>
      <c r="AF141" s="113"/>
      <c r="AG141" s="114"/>
      <c r="AI141" s="100"/>
      <c r="AJ141" s="111"/>
      <c r="AK141" s="4"/>
    </row>
    <row r="142" spans="1:38" x14ac:dyDescent="0.2">
      <c r="A142" s="14">
        <v>142</v>
      </c>
      <c r="C142" s="88"/>
      <c r="D142" s="88"/>
      <c r="E142" s="88"/>
      <c r="F142" s="88"/>
      <c r="G142" s="88"/>
      <c r="H142" s="88"/>
      <c r="I142" s="88"/>
      <c r="K142" s="117"/>
      <c r="L142" s="111"/>
      <c r="M142" s="118"/>
      <c r="N142" s="4"/>
      <c r="O142" s="4"/>
      <c r="P142" s="4"/>
      <c r="Q142" s="4"/>
      <c r="R142" s="4"/>
      <c r="S142" s="4"/>
      <c r="T142" s="4"/>
      <c r="U142" s="4"/>
      <c r="W142" s="119"/>
      <c r="X142" s="111"/>
      <c r="Y142" s="4"/>
      <c r="Z142" s="4"/>
      <c r="AA142" s="4"/>
      <c r="AB142" s="4"/>
      <c r="AC142" s="4"/>
      <c r="AD142" s="4"/>
      <c r="AE142" s="4"/>
      <c r="AF142" s="4"/>
      <c r="AG142" s="4"/>
      <c r="AI142" s="120"/>
      <c r="AJ142" s="111"/>
      <c r="AK142" s="4"/>
    </row>
    <row r="143" spans="1:38" x14ac:dyDescent="0.2">
      <c r="A143" s="14">
        <v>143</v>
      </c>
      <c r="C143" s="87" t="s">
        <v>924</v>
      </c>
      <c r="D143" s="88"/>
      <c r="E143" s="88"/>
      <c r="F143" s="88"/>
      <c r="G143" s="88"/>
      <c r="H143" s="88"/>
      <c r="I143" s="88"/>
      <c r="K143" s="117"/>
      <c r="L143" s="111"/>
      <c r="M143" s="121"/>
      <c r="N143" s="4"/>
      <c r="O143" s="87" t="s">
        <v>925</v>
      </c>
      <c r="P143" s="88"/>
      <c r="Q143" s="88"/>
      <c r="R143" s="88"/>
      <c r="S143" s="88"/>
      <c r="T143" s="88"/>
      <c r="U143" s="88"/>
      <c r="W143" s="119"/>
      <c r="X143" s="111"/>
      <c r="Y143" s="4"/>
      <c r="Z143" s="4"/>
      <c r="AA143" s="87" t="s">
        <v>926</v>
      </c>
      <c r="AB143" s="88"/>
      <c r="AC143" s="88"/>
      <c r="AD143" s="88"/>
      <c r="AE143" s="88"/>
      <c r="AF143" s="88"/>
      <c r="AG143" s="88"/>
      <c r="AI143" s="120"/>
      <c r="AJ143" s="111"/>
      <c r="AK143" s="4"/>
    </row>
    <row r="144" spans="1:38" x14ac:dyDescent="0.2">
      <c r="A144" s="14">
        <v>144</v>
      </c>
      <c r="C144" s="55" t="s">
        <v>3</v>
      </c>
      <c r="D144" s="55" t="s">
        <v>177</v>
      </c>
      <c r="E144" s="55" t="s">
        <v>178</v>
      </c>
      <c r="F144" s="55" t="s">
        <v>178</v>
      </c>
      <c r="G144" s="55" t="s">
        <v>9</v>
      </c>
      <c r="H144" s="55" t="s">
        <v>857</v>
      </c>
      <c r="I144" s="55" t="s">
        <v>854</v>
      </c>
      <c r="K144" s="56" t="s">
        <v>877</v>
      </c>
      <c r="L144" s="111"/>
      <c r="M144" s="121"/>
      <c r="N144" s="4"/>
      <c r="O144" s="55" t="s">
        <v>3</v>
      </c>
      <c r="P144" s="55" t="s">
        <v>177</v>
      </c>
      <c r="Q144" s="55" t="s">
        <v>178</v>
      </c>
      <c r="R144" s="55" t="s">
        <v>178</v>
      </c>
      <c r="S144" s="55" t="s">
        <v>9</v>
      </c>
      <c r="T144" s="55" t="s">
        <v>857</v>
      </c>
      <c r="U144" s="55" t="s">
        <v>854</v>
      </c>
      <c r="W144" s="56" t="s">
        <v>877</v>
      </c>
      <c r="X144" s="111"/>
      <c r="Y144" s="4"/>
      <c r="Z144" s="4"/>
      <c r="AA144" s="55" t="s">
        <v>3</v>
      </c>
      <c r="AB144" s="55" t="s">
        <v>177</v>
      </c>
      <c r="AC144" s="55" t="s">
        <v>178</v>
      </c>
      <c r="AD144" s="55" t="s">
        <v>178</v>
      </c>
      <c r="AE144" s="55" t="s">
        <v>9</v>
      </c>
      <c r="AF144" s="55" t="s">
        <v>857</v>
      </c>
      <c r="AG144" s="55" t="s">
        <v>854</v>
      </c>
      <c r="AI144" s="56" t="s">
        <v>877</v>
      </c>
      <c r="AJ144" s="111"/>
      <c r="AK144" s="4"/>
    </row>
    <row r="145" spans="1:37" x14ac:dyDescent="0.2">
      <c r="A145" s="14">
        <v>145</v>
      </c>
      <c r="C145" s="58"/>
      <c r="D145" s="91"/>
      <c r="E145" s="91"/>
      <c r="F145" s="91"/>
      <c r="G145" s="131">
        <v>1</v>
      </c>
      <c r="H145" s="131">
        <v>2</v>
      </c>
      <c r="I145" s="92">
        <f>H145+1</f>
        <v>3</v>
      </c>
      <c r="K145" s="122">
        <v>14</v>
      </c>
      <c r="L145" s="94"/>
      <c r="M145" s="123"/>
      <c r="N145" s="4"/>
      <c r="O145" s="58"/>
      <c r="P145" s="97"/>
      <c r="Q145" s="125"/>
      <c r="R145" s="125"/>
      <c r="S145" s="125"/>
      <c r="T145" s="124"/>
      <c r="U145" s="92">
        <v>1</v>
      </c>
      <c r="W145" s="100">
        <v>18</v>
      </c>
      <c r="X145" s="94"/>
      <c r="Y145" s="49"/>
      <c r="Z145" s="4"/>
      <c r="AA145" s="101"/>
      <c r="AB145" s="125"/>
      <c r="AC145" s="125">
        <f>AB145+1</f>
        <v>1</v>
      </c>
      <c r="AD145" s="125">
        <f>AC145+1</f>
        <v>2</v>
      </c>
      <c r="AE145" s="125">
        <f>AD145+1</f>
        <v>3</v>
      </c>
      <c r="AF145" s="125">
        <f>AE145+1</f>
        <v>4</v>
      </c>
      <c r="AG145" s="92">
        <f>AF145+1</f>
        <v>5</v>
      </c>
      <c r="AI145" s="100">
        <v>23</v>
      </c>
      <c r="AJ145" s="94"/>
      <c r="AK145" s="123"/>
    </row>
    <row r="146" spans="1:37" x14ac:dyDescent="0.2">
      <c r="A146" s="14">
        <v>146</v>
      </c>
      <c r="C146" s="101">
        <f>I145+1</f>
        <v>4</v>
      </c>
      <c r="D146" s="91">
        <f t="shared" ref="D146:I148" si="15">C146+1</f>
        <v>5</v>
      </c>
      <c r="E146" s="91">
        <f t="shared" si="15"/>
        <v>6</v>
      </c>
      <c r="F146" s="91">
        <f t="shared" si="15"/>
        <v>7</v>
      </c>
      <c r="G146" s="124">
        <f t="shared" si="15"/>
        <v>8</v>
      </c>
      <c r="H146" s="124">
        <f t="shared" si="15"/>
        <v>9</v>
      </c>
      <c r="I146" s="92">
        <f t="shared" si="15"/>
        <v>10</v>
      </c>
      <c r="K146" s="122">
        <v>15</v>
      </c>
      <c r="L146" s="103" t="s">
        <v>418</v>
      </c>
      <c r="M146" s="126">
        <v>4</v>
      </c>
      <c r="N146" s="4"/>
      <c r="O146" s="101">
        <f>U145+1</f>
        <v>2</v>
      </c>
      <c r="P146" s="125">
        <f t="shared" ref="P146:U149" si="16">O146+1</f>
        <v>3</v>
      </c>
      <c r="Q146" s="125">
        <f t="shared" si="16"/>
        <v>4</v>
      </c>
      <c r="R146" s="125">
        <f t="shared" si="16"/>
        <v>5</v>
      </c>
      <c r="S146" s="125">
        <f t="shared" si="16"/>
        <v>6</v>
      </c>
      <c r="T146" s="125">
        <f t="shared" si="16"/>
        <v>7</v>
      </c>
      <c r="U146" s="92">
        <f t="shared" si="16"/>
        <v>8</v>
      </c>
      <c r="W146" s="100">
        <v>19</v>
      </c>
      <c r="X146" s="103" t="s">
        <v>418</v>
      </c>
      <c r="Y146" s="106">
        <v>5</v>
      </c>
      <c r="Z146" s="4"/>
      <c r="AA146" s="101">
        <f>AG145+1</f>
        <v>6</v>
      </c>
      <c r="AB146" s="125">
        <f t="shared" ref="AB146:AG148" si="17">AA146+1</f>
        <v>7</v>
      </c>
      <c r="AC146" s="125">
        <f t="shared" si="17"/>
        <v>8</v>
      </c>
      <c r="AD146" s="125">
        <f t="shared" si="17"/>
        <v>9</v>
      </c>
      <c r="AE146" s="125">
        <f t="shared" si="17"/>
        <v>10</v>
      </c>
      <c r="AF146" s="125">
        <f t="shared" si="17"/>
        <v>11</v>
      </c>
      <c r="AG146" s="92">
        <f t="shared" si="17"/>
        <v>12</v>
      </c>
      <c r="AI146" s="100">
        <v>24</v>
      </c>
      <c r="AJ146" s="103" t="s">
        <v>418</v>
      </c>
      <c r="AK146" s="106">
        <v>4</v>
      </c>
    </row>
    <row r="147" spans="1:37" x14ac:dyDescent="0.2">
      <c r="A147" s="14">
        <v>147</v>
      </c>
      <c r="C147" s="101">
        <f>I146+1</f>
        <v>11</v>
      </c>
      <c r="D147" s="91">
        <f t="shared" si="15"/>
        <v>12</v>
      </c>
      <c r="E147" s="91">
        <f t="shared" si="15"/>
        <v>13</v>
      </c>
      <c r="F147" s="91">
        <f t="shared" si="15"/>
        <v>14</v>
      </c>
      <c r="G147" s="91">
        <f t="shared" si="15"/>
        <v>15</v>
      </c>
      <c r="H147" s="91">
        <f t="shared" si="15"/>
        <v>16</v>
      </c>
      <c r="I147" s="92">
        <f t="shared" si="15"/>
        <v>17</v>
      </c>
      <c r="K147" s="122">
        <v>16</v>
      </c>
      <c r="L147" s="103" t="s">
        <v>425</v>
      </c>
      <c r="M147" s="126">
        <v>4</v>
      </c>
      <c r="N147" s="4"/>
      <c r="O147" s="101">
        <f>U146+1</f>
        <v>9</v>
      </c>
      <c r="P147" s="125">
        <f t="shared" si="16"/>
        <v>10</v>
      </c>
      <c r="Q147" s="125">
        <f t="shared" si="16"/>
        <v>11</v>
      </c>
      <c r="R147" s="125">
        <f t="shared" si="16"/>
        <v>12</v>
      </c>
      <c r="S147" s="125">
        <f t="shared" si="16"/>
        <v>13</v>
      </c>
      <c r="T147" s="125">
        <f t="shared" si="16"/>
        <v>14</v>
      </c>
      <c r="U147" s="92">
        <f t="shared" si="16"/>
        <v>15</v>
      </c>
      <c r="W147" s="100">
        <v>20</v>
      </c>
      <c r="X147" s="103" t="s">
        <v>425</v>
      </c>
      <c r="Y147" s="106">
        <v>5</v>
      </c>
      <c r="Z147" s="4"/>
      <c r="AA147" s="101">
        <f>AG146+1</f>
        <v>13</v>
      </c>
      <c r="AB147" s="125">
        <f t="shared" si="17"/>
        <v>14</v>
      </c>
      <c r="AC147" s="125">
        <f t="shared" si="17"/>
        <v>15</v>
      </c>
      <c r="AD147" s="125">
        <f t="shared" si="17"/>
        <v>16</v>
      </c>
      <c r="AE147" s="125">
        <f t="shared" si="17"/>
        <v>17</v>
      </c>
      <c r="AF147" s="125">
        <f t="shared" si="17"/>
        <v>18</v>
      </c>
      <c r="AG147" s="92">
        <f t="shared" si="17"/>
        <v>19</v>
      </c>
      <c r="AI147" s="100">
        <v>25</v>
      </c>
      <c r="AJ147" s="103" t="s">
        <v>425</v>
      </c>
      <c r="AK147" s="106">
        <v>4</v>
      </c>
    </row>
    <row r="148" spans="1:37" x14ac:dyDescent="0.2">
      <c r="A148" s="14">
        <v>148</v>
      </c>
      <c r="C148" s="101">
        <f>I147+1</f>
        <v>18</v>
      </c>
      <c r="D148" s="131">
        <f t="shared" si="15"/>
        <v>19</v>
      </c>
      <c r="E148" s="97">
        <f t="shared" si="15"/>
        <v>20</v>
      </c>
      <c r="F148" s="97">
        <f t="shared" si="15"/>
        <v>21</v>
      </c>
      <c r="G148" s="91">
        <f t="shared" si="15"/>
        <v>22</v>
      </c>
      <c r="H148" s="91">
        <f t="shared" si="15"/>
        <v>23</v>
      </c>
      <c r="I148" s="92">
        <f t="shared" si="15"/>
        <v>24</v>
      </c>
      <c r="K148" s="122">
        <v>17</v>
      </c>
      <c r="L148" s="103" t="s">
        <v>878</v>
      </c>
      <c r="M148" s="126">
        <v>30</v>
      </c>
      <c r="N148" s="4"/>
      <c r="O148" s="101">
        <f>U147+1</f>
        <v>16</v>
      </c>
      <c r="P148" s="125">
        <f t="shared" si="16"/>
        <v>17</v>
      </c>
      <c r="Q148" s="125">
        <f t="shared" si="16"/>
        <v>18</v>
      </c>
      <c r="R148" s="125">
        <f t="shared" si="16"/>
        <v>19</v>
      </c>
      <c r="S148" s="125">
        <f t="shared" si="16"/>
        <v>20</v>
      </c>
      <c r="T148" s="125">
        <f t="shared" si="16"/>
        <v>21</v>
      </c>
      <c r="U148" s="92">
        <f t="shared" si="16"/>
        <v>22</v>
      </c>
      <c r="W148" s="100">
        <v>21</v>
      </c>
      <c r="X148" s="103" t="s">
        <v>878</v>
      </c>
      <c r="Y148" s="106">
        <v>31</v>
      </c>
      <c r="Z148" s="4"/>
      <c r="AA148" s="101">
        <f>AG147+1</f>
        <v>20</v>
      </c>
      <c r="AB148" s="125">
        <f t="shared" si="17"/>
        <v>21</v>
      </c>
      <c r="AC148" s="97">
        <f t="shared" si="17"/>
        <v>22</v>
      </c>
      <c r="AD148" s="130">
        <f t="shared" si="17"/>
        <v>23</v>
      </c>
      <c r="AE148" s="130">
        <f t="shared" si="17"/>
        <v>24</v>
      </c>
      <c r="AF148" s="97">
        <f t="shared" si="17"/>
        <v>25</v>
      </c>
      <c r="AG148" s="92">
        <f t="shared" si="17"/>
        <v>26</v>
      </c>
      <c r="AI148" s="100">
        <v>26</v>
      </c>
      <c r="AJ148" s="103" t="s">
        <v>878</v>
      </c>
      <c r="AK148" s="106">
        <v>30</v>
      </c>
    </row>
    <row r="149" spans="1:37" x14ac:dyDescent="0.2">
      <c r="A149" s="14">
        <v>149</v>
      </c>
      <c r="C149" s="101">
        <f>I148+1</f>
        <v>25</v>
      </c>
      <c r="D149" s="91">
        <f>C149+1</f>
        <v>26</v>
      </c>
      <c r="E149" s="91">
        <f>D149+1</f>
        <v>27</v>
      </c>
      <c r="F149" s="91">
        <f>E149+1</f>
        <v>28</v>
      </c>
      <c r="G149" s="91">
        <f>F149+1</f>
        <v>29</v>
      </c>
      <c r="H149" s="91">
        <f>G149+1</f>
        <v>30</v>
      </c>
      <c r="I149" s="92"/>
      <c r="K149" s="122">
        <v>18</v>
      </c>
      <c r="L149" s="111"/>
      <c r="M149" s="127"/>
      <c r="N149" s="4"/>
      <c r="O149" s="101">
        <f>U148+1</f>
        <v>23</v>
      </c>
      <c r="P149" s="125">
        <f t="shared" si="16"/>
        <v>24</v>
      </c>
      <c r="Q149" s="125">
        <f t="shared" si="16"/>
        <v>25</v>
      </c>
      <c r="R149" s="125">
        <f t="shared" si="16"/>
        <v>26</v>
      </c>
      <c r="S149" s="125">
        <f t="shared" si="16"/>
        <v>27</v>
      </c>
      <c r="T149" s="125">
        <f t="shared" si="16"/>
        <v>28</v>
      </c>
      <c r="U149" s="92">
        <f t="shared" si="16"/>
        <v>29</v>
      </c>
      <c r="W149" s="100">
        <v>22</v>
      </c>
      <c r="X149" s="111"/>
      <c r="Y149" s="128"/>
      <c r="Z149" s="4"/>
      <c r="AA149" s="101">
        <f>AG148+1</f>
        <v>27</v>
      </c>
      <c r="AB149" s="125">
        <f>AA149+1</f>
        <v>28</v>
      </c>
      <c r="AC149" s="130">
        <f>AB149+1</f>
        <v>29</v>
      </c>
      <c r="AD149" s="125">
        <f>AC149+1</f>
        <v>30</v>
      </c>
      <c r="AE149" s="125"/>
      <c r="AF149" s="125"/>
      <c r="AG149" s="92"/>
      <c r="AI149" s="100">
        <v>27</v>
      </c>
      <c r="AJ149" s="111"/>
      <c r="AK149" s="112"/>
    </row>
    <row r="150" spans="1:37" x14ac:dyDescent="0.2">
      <c r="A150" s="14">
        <v>150</v>
      </c>
      <c r="C150" s="101"/>
      <c r="D150" s="91"/>
      <c r="E150" s="113"/>
      <c r="F150" s="113"/>
      <c r="G150" s="113"/>
      <c r="H150" s="113"/>
      <c r="I150" s="114"/>
      <c r="K150" s="122"/>
      <c r="L150" s="111"/>
      <c r="M150" s="121"/>
      <c r="N150" s="4"/>
      <c r="O150" s="101">
        <v>30</v>
      </c>
      <c r="P150" s="125">
        <f>O150+1</f>
        <v>31</v>
      </c>
      <c r="Q150" s="129"/>
      <c r="R150" s="129"/>
      <c r="S150" s="129"/>
      <c r="T150" s="129"/>
      <c r="U150" s="114"/>
      <c r="W150" s="100">
        <v>23</v>
      </c>
      <c r="X150" s="111"/>
      <c r="Y150" s="4"/>
      <c r="Z150" s="4"/>
      <c r="AA150" s="101"/>
      <c r="AB150" s="125"/>
      <c r="AC150" s="129"/>
      <c r="AD150" s="129"/>
      <c r="AE150" s="129"/>
      <c r="AF150" s="129"/>
      <c r="AG150" s="114"/>
      <c r="AI150" s="100"/>
      <c r="AJ150" s="111"/>
      <c r="AK150" s="4"/>
    </row>
    <row r="151" spans="1:37" x14ac:dyDescent="0.2">
      <c r="A151" s="14">
        <v>151</v>
      </c>
      <c r="C151" s="88"/>
      <c r="D151" s="88"/>
      <c r="E151" s="88"/>
      <c r="F151" s="88"/>
      <c r="G151" s="88"/>
      <c r="H151" s="88"/>
      <c r="I151" s="88"/>
      <c r="K151" s="117"/>
      <c r="L151" s="111"/>
      <c r="M151" s="121"/>
      <c r="N151" s="4"/>
      <c r="O151" s="88"/>
      <c r="P151" s="88"/>
      <c r="Q151" s="88"/>
      <c r="R151" s="88"/>
      <c r="S151" s="88"/>
      <c r="T151" s="88"/>
      <c r="U151" s="88"/>
      <c r="W151" s="119"/>
      <c r="X151" s="111"/>
      <c r="Y151" s="4"/>
      <c r="Z151" s="4"/>
      <c r="AA151" s="4"/>
      <c r="AB151" s="4"/>
      <c r="AC151" s="4"/>
      <c r="AD151" s="4"/>
      <c r="AE151" s="4"/>
      <c r="AF151" s="4"/>
      <c r="AG151" s="4"/>
      <c r="AI151" s="120"/>
      <c r="AJ151" s="111"/>
      <c r="AK151" s="4"/>
    </row>
    <row r="152" spans="1:37" x14ac:dyDescent="0.2">
      <c r="A152" s="14">
        <v>152</v>
      </c>
      <c r="C152" s="87" t="s">
        <v>927</v>
      </c>
      <c r="D152" s="88"/>
      <c r="E152" s="88"/>
      <c r="F152" s="88"/>
      <c r="G152" s="88"/>
      <c r="H152" s="88"/>
      <c r="I152" s="88"/>
      <c r="K152" s="117"/>
      <c r="L152" s="111"/>
      <c r="M152" s="121"/>
      <c r="N152" s="4"/>
      <c r="O152" s="87" t="s">
        <v>928</v>
      </c>
      <c r="P152" s="88"/>
      <c r="Q152" s="88"/>
      <c r="R152" s="88"/>
      <c r="S152" s="88"/>
      <c r="T152" s="88"/>
      <c r="U152" s="88"/>
      <c r="W152" s="119"/>
      <c r="X152" s="111"/>
      <c r="Y152" s="4"/>
      <c r="Z152" s="4"/>
      <c r="AA152" s="87" t="s">
        <v>929</v>
      </c>
      <c r="AB152" s="88"/>
      <c r="AC152" s="88"/>
      <c r="AD152" s="88"/>
      <c r="AE152" s="88"/>
      <c r="AF152" s="88"/>
      <c r="AG152" s="88"/>
      <c r="AI152" s="120"/>
      <c r="AJ152" s="111"/>
      <c r="AK152" s="4"/>
    </row>
    <row r="153" spans="1:37" x14ac:dyDescent="0.2">
      <c r="A153" s="14">
        <v>153</v>
      </c>
      <c r="C153" s="55" t="s">
        <v>3</v>
      </c>
      <c r="D153" s="55" t="s">
        <v>177</v>
      </c>
      <c r="E153" s="55" t="s">
        <v>178</v>
      </c>
      <c r="F153" s="55" t="s">
        <v>178</v>
      </c>
      <c r="G153" s="55" t="s">
        <v>9</v>
      </c>
      <c r="H153" s="55" t="s">
        <v>857</v>
      </c>
      <c r="I153" s="55" t="s">
        <v>854</v>
      </c>
      <c r="K153" s="56" t="s">
        <v>877</v>
      </c>
      <c r="L153" s="111"/>
      <c r="M153" s="121"/>
      <c r="N153" s="4"/>
      <c r="O153" s="55" t="s">
        <v>3</v>
      </c>
      <c r="P153" s="55" t="s">
        <v>177</v>
      </c>
      <c r="Q153" s="55" t="s">
        <v>178</v>
      </c>
      <c r="R153" s="55" t="s">
        <v>178</v>
      </c>
      <c r="S153" s="55" t="s">
        <v>9</v>
      </c>
      <c r="T153" s="55" t="s">
        <v>857</v>
      </c>
      <c r="U153" s="55" t="s">
        <v>854</v>
      </c>
      <c r="W153" s="56" t="s">
        <v>877</v>
      </c>
      <c r="X153" s="111"/>
      <c r="Y153" s="4"/>
      <c r="Z153" s="4"/>
      <c r="AA153" s="55" t="s">
        <v>3</v>
      </c>
      <c r="AB153" s="55" t="s">
        <v>177</v>
      </c>
      <c r="AC153" s="55" t="s">
        <v>178</v>
      </c>
      <c r="AD153" s="55" t="s">
        <v>178</v>
      </c>
      <c r="AE153" s="55" t="s">
        <v>9</v>
      </c>
      <c r="AF153" s="55" t="s">
        <v>857</v>
      </c>
      <c r="AG153" s="55" t="s">
        <v>854</v>
      </c>
      <c r="AI153" s="56" t="s">
        <v>877</v>
      </c>
      <c r="AJ153" s="111"/>
      <c r="AK153" s="4"/>
    </row>
    <row r="154" spans="1:37" x14ac:dyDescent="0.2">
      <c r="A154" s="14">
        <v>154</v>
      </c>
      <c r="C154" s="58"/>
      <c r="D154" s="125"/>
      <c r="E154" s="125"/>
      <c r="F154" s="125"/>
      <c r="G154" s="125">
        <f>F154+1</f>
        <v>1</v>
      </c>
      <c r="H154" s="125">
        <f>G154+1</f>
        <v>2</v>
      </c>
      <c r="I154" s="92">
        <f>H154+1</f>
        <v>3</v>
      </c>
      <c r="K154" s="122">
        <v>27</v>
      </c>
      <c r="L154" s="94"/>
      <c r="M154" s="123"/>
      <c r="N154" s="4"/>
      <c r="O154" s="101">
        <v>1</v>
      </c>
      <c r="P154" s="125">
        <f t="shared" ref="P154:U157" si="18">O154+1</f>
        <v>2</v>
      </c>
      <c r="Q154" s="125">
        <f t="shared" si="18"/>
        <v>3</v>
      </c>
      <c r="R154" s="125">
        <f t="shared" si="18"/>
        <v>4</v>
      </c>
      <c r="S154" s="125">
        <f t="shared" si="18"/>
        <v>5</v>
      </c>
      <c r="T154" s="125">
        <f t="shared" si="18"/>
        <v>6</v>
      </c>
      <c r="U154" s="92">
        <f t="shared" si="18"/>
        <v>7</v>
      </c>
      <c r="W154" s="100">
        <v>31</v>
      </c>
      <c r="X154" s="94"/>
      <c r="Y154" s="49"/>
      <c r="Z154" s="4"/>
      <c r="AA154" s="58"/>
      <c r="AB154" s="125"/>
      <c r="AC154" s="125"/>
      <c r="AD154" s="125">
        <v>1</v>
      </c>
      <c r="AE154" s="125">
        <f>AD154+1</f>
        <v>2</v>
      </c>
      <c r="AF154" s="125">
        <f>AE154+1</f>
        <v>3</v>
      </c>
      <c r="AG154" s="92">
        <f>AF154+1</f>
        <v>4</v>
      </c>
      <c r="AI154" s="100">
        <v>35</v>
      </c>
      <c r="AJ154" s="94"/>
      <c r="AK154" s="49"/>
    </row>
    <row r="155" spans="1:37" x14ac:dyDescent="0.2">
      <c r="A155" s="14">
        <v>155</v>
      </c>
      <c r="C155" s="101">
        <f>I154+1</f>
        <v>4</v>
      </c>
      <c r="D155" s="130">
        <f t="shared" ref="D155:I158" si="19">C155+1</f>
        <v>5</v>
      </c>
      <c r="E155" s="97">
        <f t="shared" si="19"/>
        <v>6</v>
      </c>
      <c r="F155" s="97">
        <f t="shared" si="19"/>
        <v>7</v>
      </c>
      <c r="G155" s="125">
        <f t="shared" si="19"/>
        <v>8</v>
      </c>
      <c r="H155" s="125">
        <f t="shared" si="19"/>
        <v>9</v>
      </c>
      <c r="I155" s="92">
        <f t="shared" si="19"/>
        <v>10</v>
      </c>
      <c r="K155" s="122">
        <v>28</v>
      </c>
      <c r="L155" s="103" t="s">
        <v>418</v>
      </c>
      <c r="M155" s="126">
        <v>4</v>
      </c>
      <c r="N155" s="4"/>
      <c r="O155" s="101">
        <f>U154+1</f>
        <v>8</v>
      </c>
      <c r="P155" s="125">
        <f t="shared" si="18"/>
        <v>9</v>
      </c>
      <c r="Q155" s="125">
        <f t="shared" si="18"/>
        <v>10</v>
      </c>
      <c r="R155" s="125">
        <f t="shared" si="18"/>
        <v>11</v>
      </c>
      <c r="S155" s="125">
        <f t="shared" si="18"/>
        <v>12</v>
      </c>
      <c r="T155" s="125">
        <f t="shared" si="18"/>
        <v>13</v>
      </c>
      <c r="U155" s="92">
        <f t="shared" si="18"/>
        <v>14</v>
      </c>
      <c r="W155" s="100">
        <v>32</v>
      </c>
      <c r="X155" s="103" t="s">
        <v>418</v>
      </c>
      <c r="Y155" s="106">
        <v>5</v>
      </c>
      <c r="Z155" s="4"/>
      <c r="AA155" s="101">
        <f>AG154+1</f>
        <v>5</v>
      </c>
      <c r="AB155" s="125">
        <f t="shared" ref="AB155:AG157" si="20">AA155+1</f>
        <v>6</v>
      </c>
      <c r="AC155" s="125">
        <f t="shared" si="20"/>
        <v>7</v>
      </c>
      <c r="AD155" s="125">
        <f t="shared" si="20"/>
        <v>8</v>
      </c>
      <c r="AE155" s="125">
        <f t="shared" si="20"/>
        <v>9</v>
      </c>
      <c r="AF155" s="125">
        <f t="shared" si="20"/>
        <v>10</v>
      </c>
      <c r="AG155" s="92">
        <f t="shared" si="20"/>
        <v>11</v>
      </c>
      <c r="AI155" s="100">
        <v>36</v>
      </c>
      <c r="AJ155" s="103" t="s">
        <v>418</v>
      </c>
      <c r="AK155" s="106">
        <v>4</v>
      </c>
    </row>
    <row r="156" spans="1:37" x14ac:dyDescent="0.2">
      <c r="A156" s="14">
        <v>156</v>
      </c>
      <c r="C156" s="101">
        <f>I155+1</f>
        <v>11</v>
      </c>
      <c r="D156" s="125">
        <f t="shared" si="19"/>
        <v>12</v>
      </c>
      <c r="E156" s="125">
        <f t="shared" si="19"/>
        <v>13</v>
      </c>
      <c r="F156" s="125">
        <f t="shared" si="19"/>
        <v>14</v>
      </c>
      <c r="G156" s="125">
        <f t="shared" si="19"/>
        <v>15</v>
      </c>
      <c r="H156" s="125">
        <f t="shared" si="19"/>
        <v>16</v>
      </c>
      <c r="I156" s="92">
        <f t="shared" si="19"/>
        <v>17</v>
      </c>
      <c r="K156" s="122">
        <v>29</v>
      </c>
      <c r="L156" s="103" t="s">
        <v>425</v>
      </c>
      <c r="M156" s="126">
        <v>5</v>
      </c>
      <c r="N156" s="4"/>
      <c r="O156" s="101">
        <f>U155+1</f>
        <v>15</v>
      </c>
      <c r="P156" s="125">
        <f t="shared" si="18"/>
        <v>16</v>
      </c>
      <c r="Q156" s="125">
        <f t="shared" si="18"/>
        <v>17</v>
      </c>
      <c r="R156" s="125">
        <f t="shared" si="18"/>
        <v>18</v>
      </c>
      <c r="S156" s="125">
        <f t="shared" si="18"/>
        <v>19</v>
      </c>
      <c r="T156" s="125">
        <f t="shared" si="18"/>
        <v>20</v>
      </c>
      <c r="U156" s="92">
        <f t="shared" si="18"/>
        <v>21</v>
      </c>
      <c r="W156" s="100">
        <v>33</v>
      </c>
      <c r="X156" s="103" t="s">
        <v>425</v>
      </c>
      <c r="Y156" s="106">
        <v>4</v>
      </c>
      <c r="Z156" s="4"/>
      <c r="AA156" s="101">
        <f>AG155+1</f>
        <v>12</v>
      </c>
      <c r="AB156" s="125">
        <f t="shared" si="20"/>
        <v>13</v>
      </c>
      <c r="AC156" s="125">
        <f t="shared" si="20"/>
        <v>14</v>
      </c>
      <c r="AD156" s="125">
        <f t="shared" si="20"/>
        <v>15</v>
      </c>
      <c r="AE156" s="125">
        <f t="shared" si="20"/>
        <v>16</v>
      </c>
      <c r="AF156" s="125">
        <f t="shared" si="20"/>
        <v>17</v>
      </c>
      <c r="AG156" s="92">
        <f t="shared" si="20"/>
        <v>18</v>
      </c>
      <c r="AI156" s="100">
        <v>37</v>
      </c>
      <c r="AJ156" s="103" t="s">
        <v>425</v>
      </c>
      <c r="AK156" s="106">
        <v>4</v>
      </c>
    </row>
    <row r="157" spans="1:37" x14ac:dyDescent="0.2">
      <c r="A157" s="14">
        <v>157</v>
      </c>
      <c r="C157" s="101">
        <f>I156+1</f>
        <v>18</v>
      </c>
      <c r="D157" s="125">
        <f t="shared" si="19"/>
        <v>19</v>
      </c>
      <c r="E157" s="125">
        <f t="shared" si="19"/>
        <v>20</v>
      </c>
      <c r="F157" s="125">
        <f t="shared" si="19"/>
        <v>21</v>
      </c>
      <c r="G157" s="134">
        <f t="shared" si="19"/>
        <v>22</v>
      </c>
      <c r="H157" s="124">
        <f t="shared" si="19"/>
        <v>23</v>
      </c>
      <c r="I157" s="92">
        <f t="shared" si="19"/>
        <v>24</v>
      </c>
      <c r="K157" s="122">
        <v>30</v>
      </c>
      <c r="L157" s="103" t="s">
        <v>878</v>
      </c>
      <c r="M157" s="126">
        <v>31</v>
      </c>
      <c r="N157" s="4"/>
      <c r="O157" s="101">
        <f>U156+1</f>
        <v>22</v>
      </c>
      <c r="P157" s="125">
        <f t="shared" si="18"/>
        <v>23</v>
      </c>
      <c r="Q157" s="125">
        <f t="shared" si="18"/>
        <v>24</v>
      </c>
      <c r="R157" s="125">
        <f t="shared" si="18"/>
        <v>25</v>
      </c>
      <c r="S157" s="125">
        <f t="shared" si="18"/>
        <v>26</v>
      </c>
      <c r="T157" s="125">
        <f t="shared" si="18"/>
        <v>27</v>
      </c>
      <c r="U157" s="92">
        <f t="shared" si="18"/>
        <v>28</v>
      </c>
      <c r="W157" s="100">
        <v>34</v>
      </c>
      <c r="X157" s="103" t="s">
        <v>878</v>
      </c>
      <c r="Y157" s="106">
        <v>31</v>
      </c>
      <c r="Z157" s="4"/>
      <c r="AA157" s="101">
        <f>AG156+1</f>
        <v>19</v>
      </c>
      <c r="AB157" s="125">
        <f t="shared" si="20"/>
        <v>20</v>
      </c>
      <c r="AC157" s="125">
        <f t="shared" si="20"/>
        <v>21</v>
      </c>
      <c r="AD157" s="125">
        <f t="shared" si="20"/>
        <v>22</v>
      </c>
      <c r="AE157" s="125">
        <f t="shared" si="20"/>
        <v>23</v>
      </c>
      <c r="AF157" s="125">
        <f t="shared" si="20"/>
        <v>24</v>
      </c>
      <c r="AG157" s="92">
        <f t="shared" si="20"/>
        <v>25</v>
      </c>
      <c r="AI157" s="100">
        <v>38</v>
      </c>
      <c r="AJ157" s="103" t="s">
        <v>878</v>
      </c>
      <c r="AK157" s="106">
        <v>30</v>
      </c>
    </row>
    <row r="158" spans="1:37" x14ac:dyDescent="0.2">
      <c r="A158" s="14">
        <v>158</v>
      </c>
      <c r="C158" s="101">
        <f>I157+1</f>
        <v>25</v>
      </c>
      <c r="D158" s="134">
        <f t="shared" si="19"/>
        <v>26</v>
      </c>
      <c r="E158" s="125">
        <f t="shared" si="19"/>
        <v>27</v>
      </c>
      <c r="F158" s="125">
        <f t="shared" si="19"/>
        <v>28</v>
      </c>
      <c r="G158" s="125">
        <f t="shared" si="19"/>
        <v>29</v>
      </c>
      <c r="H158" s="125">
        <f t="shared" si="19"/>
        <v>30</v>
      </c>
      <c r="I158" s="92">
        <f t="shared" si="19"/>
        <v>31</v>
      </c>
      <c r="K158" s="122">
        <v>31</v>
      </c>
      <c r="L158" s="111"/>
      <c r="M158" s="127"/>
      <c r="N158" s="4"/>
      <c r="O158" s="101">
        <f>U157+1</f>
        <v>29</v>
      </c>
      <c r="P158" s="125">
        <f>O158+1</f>
        <v>30</v>
      </c>
      <c r="Q158" s="125">
        <f>P158+1</f>
        <v>31</v>
      </c>
      <c r="R158" s="125"/>
      <c r="S158" s="125"/>
      <c r="T158" s="125"/>
      <c r="U158" s="92"/>
      <c r="W158" s="100">
        <v>35</v>
      </c>
      <c r="X158" s="111"/>
      <c r="Y158" s="112"/>
      <c r="Z158" s="4"/>
      <c r="AA158" s="101">
        <f>AG157+1</f>
        <v>26</v>
      </c>
      <c r="AB158" s="125">
        <f>AA158+1</f>
        <v>27</v>
      </c>
      <c r="AC158" s="125">
        <f>AB158+1</f>
        <v>28</v>
      </c>
      <c r="AD158" s="125">
        <f>AC158+1</f>
        <v>29</v>
      </c>
      <c r="AE158" s="125">
        <f>AD158+1</f>
        <v>30</v>
      </c>
      <c r="AF158" s="125"/>
      <c r="AG158" s="92"/>
      <c r="AI158" s="100">
        <v>39</v>
      </c>
      <c r="AJ158" s="111"/>
      <c r="AK158" s="112"/>
    </row>
    <row r="159" spans="1:37" x14ac:dyDescent="0.2">
      <c r="A159" s="14">
        <v>159</v>
      </c>
      <c r="C159" s="101"/>
      <c r="D159" s="125"/>
      <c r="E159" s="129"/>
      <c r="F159" s="129"/>
      <c r="G159" s="129"/>
      <c r="H159" s="129"/>
      <c r="I159" s="114"/>
      <c r="K159" s="122"/>
      <c r="L159" s="111"/>
      <c r="M159" s="121"/>
      <c r="N159" s="4"/>
      <c r="O159" s="101"/>
      <c r="P159" s="125"/>
      <c r="Q159" s="125"/>
      <c r="R159" s="125"/>
      <c r="S159" s="125"/>
      <c r="T159" s="125"/>
      <c r="U159" s="92"/>
      <c r="W159" s="100"/>
      <c r="X159" s="111"/>
      <c r="Y159" s="4"/>
      <c r="Z159" s="4"/>
      <c r="AA159" s="101"/>
      <c r="AB159" s="125"/>
      <c r="AC159" s="129"/>
      <c r="AD159" s="129"/>
      <c r="AE159" s="129"/>
      <c r="AF159" s="129"/>
      <c r="AG159" s="114"/>
      <c r="AI159" s="116"/>
      <c r="AJ159" s="111"/>
      <c r="AK159" s="4"/>
    </row>
    <row r="160" spans="1:37" x14ac:dyDescent="0.2">
      <c r="A160" s="14">
        <v>160</v>
      </c>
      <c r="C160" s="88"/>
      <c r="D160" s="88"/>
      <c r="E160" s="88"/>
      <c r="F160" s="88"/>
      <c r="G160" s="88"/>
      <c r="H160" s="88"/>
      <c r="I160" s="88"/>
      <c r="K160" s="117"/>
      <c r="L160" s="111"/>
      <c r="M160" s="121"/>
      <c r="N160" s="4"/>
      <c r="O160" s="88"/>
      <c r="P160" s="88"/>
      <c r="Q160" s="88"/>
      <c r="R160" s="88"/>
      <c r="S160" s="88"/>
      <c r="T160" s="88"/>
      <c r="U160" s="88"/>
      <c r="W160" s="119"/>
      <c r="X160" s="111"/>
      <c r="Y160" s="4"/>
      <c r="Z160" s="4"/>
      <c r="AA160" s="4"/>
      <c r="AB160" s="4"/>
      <c r="AC160" s="4"/>
      <c r="AD160" s="4"/>
      <c r="AE160" s="4"/>
      <c r="AF160" s="4"/>
      <c r="AG160" s="4"/>
      <c r="AI160" s="120"/>
      <c r="AJ160" s="111"/>
      <c r="AK160" s="4"/>
    </row>
    <row r="161" spans="1:37" x14ac:dyDescent="0.2">
      <c r="A161" s="14">
        <v>161</v>
      </c>
      <c r="C161" s="87" t="s">
        <v>930</v>
      </c>
      <c r="D161" s="88"/>
      <c r="E161" s="88"/>
      <c r="F161" s="88"/>
      <c r="G161" s="88"/>
      <c r="H161" s="88"/>
      <c r="I161" s="88"/>
      <c r="K161" s="117"/>
      <c r="L161" s="111"/>
      <c r="M161" s="121"/>
      <c r="N161" s="4"/>
      <c r="O161" s="87" t="s">
        <v>931</v>
      </c>
      <c r="P161" s="88"/>
      <c r="Q161" s="88"/>
      <c r="R161" s="88"/>
      <c r="S161" s="88"/>
      <c r="T161" s="88"/>
      <c r="U161" s="88"/>
      <c r="W161" s="119"/>
      <c r="X161" s="111"/>
      <c r="Y161" s="4"/>
      <c r="Z161" s="4"/>
      <c r="AA161" s="87" t="s">
        <v>932</v>
      </c>
      <c r="AB161" s="88"/>
      <c r="AC161" s="88"/>
      <c r="AD161" s="88"/>
      <c r="AE161" s="88"/>
      <c r="AF161" s="88"/>
      <c r="AG161" s="88"/>
      <c r="AI161" s="120"/>
      <c r="AJ161" s="111"/>
      <c r="AK161" s="4"/>
    </row>
    <row r="162" spans="1:37" x14ac:dyDescent="0.2">
      <c r="A162" s="14">
        <v>162</v>
      </c>
      <c r="C162" s="55" t="s">
        <v>3</v>
      </c>
      <c r="D162" s="55" t="s">
        <v>177</v>
      </c>
      <c r="E162" s="55" t="s">
        <v>178</v>
      </c>
      <c r="F162" s="55" t="s">
        <v>178</v>
      </c>
      <c r="G162" s="55" t="s">
        <v>9</v>
      </c>
      <c r="H162" s="55" t="s">
        <v>857</v>
      </c>
      <c r="I162" s="55" t="s">
        <v>854</v>
      </c>
      <c r="K162" s="56" t="s">
        <v>877</v>
      </c>
      <c r="L162" s="111"/>
      <c r="M162" s="121"/>
      <c r="N162" s="4"/>
      <c r="O162" s="55" t="s">
        <v>3</v>
      </c>
      <c r="P162" s="55" t="s">
        <v>177</v>
      </c>
      <c r="Q162" s="55" t="s">
        <v>178</v>
      </c>
      <c r="R162" s="55" t="s">
        <v>178</v>
      </c>
      <c r="S162" s="55" t="s">
        <v>9</v>
      </c>
      <c r="T162" s="55" t="s">
        <v>857</v>
      </c>
      <c r="U162" s="55" t="s">
        <v>854</v>
      </c>
      <c r="W162" s="56" t="s">
        <v>877</v>
      </c>
      <c r="X162" s="111"/>
      <c r="Y162" s="4"/>
      <c r="Z162" s="4"/>
      <c r="AA162" s="55" t="s">
        <v>3</v>
      </c>
      <c r="AB162" s="55" t="s">
        <v>177</v>
      </c>
      <c r="AC162" s="55" t="s">
        <v>178</v>
      </c>
      <c r="AD162" s="55" t="s">
        <v>178</v>
      </c>
      <c r="AE162" s="55" t="s">
        <v>9</v>
      </c>
      <c r="AF162" s="55" t="s">
        <v>857</v>
      </c>
      <c r="AG162" s="55" t="s">
        <v>854</v>
      </c>
      <c r="AI162" s="56" t="s">
        <v>877</v>
      </c>
      <c r="AJ162" s="111"/>
      <c r="AK162" s="4"/>
    </row>
    <row r="163" spans="1:37" x14ac:dyDescent="0.2">
      <c r="A163" s="14">
        <v>163</v>
      </c>
      <c r="C163" s="58"/>
      <c r="D163" s="125"/>
      <c r="E163" s="125"/>
      <c r="F163" s="125"/>
      <c r="G163" s="125"/>
      <c r="H163" s="125">
        <v>1</v>
      </c>
      <c r="I163" s="92">
        <f>H163+1</f>
        <v>2</v>
      </c>
      <c r="K163" s="122">
        <v>39</v>
      </c>
      <c r="L163" s="94"/>
      <c r="M163" s="123"/>
      <c r="N163" s="4"/>
      <c r="O163" s="101"/>
      <c r="P163" s="125">
        <v>1</v>
      </c>
      <c r="Q163" s="125">
        <f>P163+1</f>
        <v>2</v>
      </c>
      <c r="R163" s="125">
        <f>Q163+1</f>
        <v>3</v>
      </c>
      <c r="S163" s="125">
        <f>R163+1</f>
        <v>4</v>
      </c>
      <c r="T163" s="125">
        <f>S163+1</f>
        <v>5</v>
      </c>
      <c r="U163" s="92">
        <f>T163+1</f>
        <v>6</v>
      </c>
      <c r="W163" s="100">
        <v>44</v>
      </c>
      <c r="X163" s="94"/>
      <c r="Y163" s="49"/>
      <c r="Z163" s="4"/>
      <c r="AA163" s="58"/>
      <c r="AB163" s="125"/>
      <c r="AC163" s="125"/>
      <c r="AD163" s="125">
        <v>1</v>
      </c>
      <c r="AE163" s="125">
        <f>AD163+1</f>
        <v>2</v>
      </c>
      <c r="AF163" s="125">
        <f>AE163+1</f>
        <v>3</v>
      </c>
      <c r="AG163" s="92">
        <f>AF163+1</f>
        <v>4</v>
      </c>
      <c r="AI163" s="100">
        <v>48</v>
      </c>
      <c r="AJ163" s="94"/>
      <c r="AK163" s="152"/>
    </row>
    <row r="164" spans="1:37" x14ac:dyDescent="0.2">
      <c r="A164" s="14">
        <v>164</v>
      </c>
      <c r="C164" s="101">
        <f>I163+1</f>
        <v>3</v>
      </c>
      <c r="D164" s="125">
        <f t="shared" ref="D164:I167" si="21">C164+1</f>
        <v>4</v>
      </c>
      <c r="E164" s="125">
        <f t="shared" si="21"/>
        <v>5</v>
      </c>
      <c r="F164" s="125">
        <f t="shared" si="21"/>
        <v>6</v>
      </c>
      <c r="G164" s="125">
        <f t="shared" si="21"/>
        <v>7</v>
      </c>
      <c r="H164" s="125">
        <f t="shared" si="21"/>
        <v>8</v>
      </c>
      <c r="I164" s="92">
        <f t="shared" si="21"/>
        <v>9</v>
      </c>
      <c r="K164" s="122">
        <v>40</v>
      </c>
      <c r="L164" s="103" t="s">
        <v>418</v>
      </c>
      <c r="M164" s="126">
        <v>5</v>
      </c>
      <c r="N164" s="4"/>
      <c r="O164" s="101">
        <f>U163+1</f>
        <v>7</v>
      </c>
      <c r="P164" s="125">
        <f t="shared" ref="P164:U166" si="22">O164+1</f>
        <v>8</v>
      </c>
      <c r="Q164" s="125">
        <f t="shared" si="22"/>
        <v>9</v>
      </c>
      <c r="R164" s="125">
        <f t="shared" si="22"/>
        <v>10</v>
      </c>
      <c r="S164" s="125">
        <f t="shared" si="22"/>
        <v>11</v>
      </c>
      <c r="T164" s="125">
        <f t="shared" si="22"/>
        <v>12</v>
      </c>
      <c r="U164" s="92">
        <f t="shared" si="22"/>
        <v>13</v>
      </c>
      <c r="W164" s="100">
        <v>45</v>
      </c>
      <c r="X164" s="103" t="s">
        <v>418</v>
      </c>
      <c r="Y164" s="106">
        <v>4</v>
      </c>
      <c r="Z164" s="4"/>
      <c r="AA164" s="101">
        <f>AG163+1</f>
        <v>5</v>
      </c>
      <c r="AB164" s="125">
        <f t="shared" ref="AB164:AG166" si="23">AA164+1</f>
        <v>6</v>
      </c>
      <c r="AC164" s="125">
        <f t="shared" si="23"/>
        <v>7</v>
      </c>
      <c r="AD164" s="125">
        <f t="shared" si="23"/>
        <v>8</v>
      </c>
      <c r="AE164" s="125">
        <f t="shared" si="23"/>
        <v>9</v>
      </c>
      <c r="AF164" s="125">
        <f t="shared" si="23"/>
        <v>10</v>
      </c>
      <c r="AG164" s="92">
        <f t="shared" si="23"/>
        <v>11</v>
      </c>
      <c r="AI164" s="100">
        <v>49</v>
      </c>
      <c r="AJ164" s="103" t="s">
        <v>418</v>
      </c>
      <c r="AK164" s="106">
        <v>4</v>
      </c>
    </row>
    <row r="165" spans="1:37" x14ac:dyDescent="0.2">
      <c r="A165" s="14">
        <v>165</v>
      </c>
      <c r="C165" s="101">
        <f>I164+1</f>
        <v>10</v>
      </c>
      <c r="D165" s="124">
        <f t="shared" si="21"/>
        <v>11</v>
      </c>
      <c r="E165" s="131">
        <f t="shared" si="21"/>
        <v>12</v>
      </c>
      <c r="F165" s="125">
        <f t="shared" si="21"/>
        <v>13</v>
      </c>
      <c r="G165" s="125">
        <f t="shared" si="21"/>
        <v>14</v>
      </c>
      <c r="H165" s="125">
        <f t="shared" si="21"/>
        <v>15</v>
      </c>
      <c r="I165" s="92">
        <f t="shared" si="21"/>
        <v>16</v>
      </c>
      <c r="K165" s="122">
        <v>41</v>
      </c>
      <c r="L165" s="103" t="s">
        <v>425</v>
      </c>
      <c r="M165" s="126">
        <v>5</v>
      </c>
      <c r="N165" s="4"/>
      <c r="O165" s="101">
        <f>U164+1</f>
        <v>14</v>
      </c>
      <c r="P165" s="125">
        <f t="shared" si="22"/>
        <v>15</v>
      </c>
      <c r="Q165" s="125">
        <f t="shared" si="22"/>
        <v>16</v>
      </c>
      <c r="R165" s="125">
        <f t="shared" si="22"/>
        <v>17</v>
      </c>
      <c r="S165" s="125">
        <f t="shared" si="22"/>
        <v>18</v>
      </c>
      <c r="T165" s="125">
        <f t="shared" si="22"/>
        <v>19</v>
      </c>
      <c r="U165" s="92">
        <f t="shared" si="22"/>
        <v>20</v>
      </c>
      <c r="W165" s="100">
        <v>46</v>
      </c>
      <c r="X165" s="103" t="s">
        <v>425</v>
      </c>
      <c r="Y165" s="106">
        <v>4</v>
      </c>
      <c r="Z165" s="4"/>
      <c r="AA165" s="101">
        <f>AG164+1</f>
        <v>12</v>
      </c>
      <c r="AB165" s="125">
        <f t="shared" si="23"/>
        <v>13</v>
      </c>
      <c r="AC165" s="125">
        <f t="shared" si="23"/>
        <v>14</v>
      </c>
      <c r="AD165" s="125">
        <f t="shared" si="23"/>
        <v>15</v>
      </c>
      <c r="AE165" s="125">
        <f t="shared" si="23"/>
        <v>16</v>
      </c>
      <c r="AF165" s="125">
        <f t="shared" si="23"/>
        <v>17</v>
      </c>
      <c r="AG165" s="92">
        <f t="shared" si="23"/>
        <v>18</v>
      </c>
      <c r="AI165" s="100">
        <v>50</v>
      </c>
      <c r="AJ165" s="103" t="s">
        <v>425</v>
      </c>
      <c r="AK165" s="106">
        <v>4</v>
      </c>
    </row>
    <row r="166" spans="1:37" x14ac:dyDescent="0.2">
      <c r="A166" s="14">
        <v>166</v>
      </c>
      <c r="C166" s="101">
        <f>I165+1</f>
        <v>17</v>
      </c>
      <c r="D166" s="125">
        <f t="shared" si="21"/>
        <v>18</v>
      </c>
      <c r="E166" s="125">
        <f t="shared" si="21"/>
        <v>19</v>
      </c>
      <c r="F166" s="125">
        <f t="shared" si="21"/>
        <v>20</v>
      </c>
      <c r="G166" s="125">
        <f t="shared" si="21"/>
        <v>21</v>
      </c>
      <c r="H166" s="125">
        <f t="shared" si="21"/>
        <v>22</v>
      </c>
      <c r="I166" s="92">
        <f t="shared" si="21"/>
        <v>23</v>
      </c>
      <c r="K166" s="122">
        <v>42</v>
      </c>
      <c r="L166" s="103" t="s">
        <v>878</v>
      </c>
      <c r="M166" s="126">
        <v>31</v>
      </c>
      <c r="N166" s="4"/>
      <c r="O166" s="101">
        <f>U165+1</f>
        <v>21</v>
      </c>
      <c r="P166" s="125">
        <f t="shared" si="22"/>
        <v>22</v>
      </c>
      <c r="Q166" s="125">
        <f t="shared" si="22"/>
        <v>23</v>
      </c>
      <c r="R166" s="125">
        <f t="shared" si="22"/>
        <v>24</v>
      </c>
      <c r="S166" s="125">
        <f t="shared" si="22"/>
        <v>25</v>
      </c>
      <c r="T166" s="125">
        <f t="shared" si="22"/>
        <v>26</v>
      </c>
      <c r="U166" s="92">
        <f t="shared" si="22"/>
        <v>27</v>
      </c>
      <c r="W166" s="100">
        <v>47</v>
      </c>
      <c r="X166" s="103" t="s">
        <v>878</v>
      </c>
      <c r="Y166" s="106">
        <v>30</v>
      </c>
      <c r="Z166" s="4"/>
      <c r="AA166" s="101">
        <f>AG165+1</f>
        <v>19</v>
      </c>
      <c r="AB166" s="125">
        <f t="shared" si="23"/>
        <v>20</v>
      </c>
      <c r="AC166" s="125">
        <f t="shared" si="23"/>
        <v>21</v>
      </c>
      <c r="AD166" s="125">
        <f t="shared" si="23"/>
        <v>22</v>
      </c>
      <c r="AE166" s="125">
        <f t="shared" si="23"/>
        <v>23</v>
      </c>
      <c r="AF166" s="124">
        <f t="shared" si="23"/>
        <v>24</v>
      </c>
      <c r="AG166" s="92">
        <f t="shared" si="23"/>
        <v>25</v>
      </c>
      <c r="AI166" s="100">
        <v>51</v>
      </c>
      <c r="AJ166" s="103" t="s">
        <v>878</v>
      </c>
      <c r="AK166" s="106">
        <v>31</v>
      </c>
    </row>
    <row r="167" spans="1:37" x14ac:dyDescent="0.2">
      <c r="A167" s="14">
        <v>167</v>
      </c>
      <c r="C167" s="101">
        <f>I166+1</f>
        <v>24</v>
      </c>
      <c r="D167" s="125">
        <f t="shared" si="21"/>
        <v>25</v>
      </c>
      <c r="E167" s="125">
        <f t="shared" si="21"/>
        <v>26</v>
      </c>
      <c r="F167" s="125">
        <f t="shared" si="21"/>
        <v>27</v>
      </c>
      <c r="G167" s="125">
        <f t="shared" si="21"/>
        <v>28</v>
      </c>
      <c r="H167" s="125">
        <f t="shared" si="21"/>
        <v>29</v>
      </c>
      <c r="I167" s="92">
        <f t="shared" si="21"/>
        <v>30</v>
      </c>
      <c r="K167" s="122">
        <v>43</v>
      </c>
      <c r="L167" s="4"/>
      <c r="M167" s="112"/>
      <c r="N167" s="4"/>
      <c r="O167" s="101">
        <f>U166+1</f>
        <v>28</v>
      </c>
      <c r="P167" s="125">
        <f>O167+1</f>
        <v>29</v>
      </c>
      <c r="Q167" s="125">
        <f>P167+1</f>
        <v>30</v>
      </c>
      <c r="R167" s="125"/>
      <c r="S167" s="125"/>
      <c r="T167" s="125"/>
      <c r="U167" s="92"/>
      <c r="W167" s="100">
        <v>48</v>
      </c>
      <c r="X167" s="111"/>
      <c r="Y167" s="112"/>
      <c r="Z167" s="4"/>
      <c r="AA167" s="101">
        <f>AG166+1</f>
        <v>26</v>
      </c>
      <c r="AB167" s="125">
        <f>AA167+1</f>
        <v>27</v>
      </c>
      <c r="AC167" s="125">
        <f>AB167+1</f>
        <v>28</v>
      </c>
      <c r="AD167" s="125">
        <f>AC167+1</f>
        <v>29</v>
      </c>
      <c r="AE167" s="125">
        <f>AD167+1</f>
        <v>30</v>
      </c>
      <c r="AF167" s="125">
        <f>AE167+1</f>
        <v>31</v>
      </c>
      <c r="AG167" s="92"/>
      <c r="AI167" s="100">
        <v>52</v>
      </c>
      <c r="AJ167" s="111"/>
      <c r="AK167" s="4"/>
    </row>
    <row r="168" spans="1:37" x14ac:dyDescent="0.2">
      <c r="A168" s="14">
        <v>168</v>
      </c>
      <c r="C168" s="101">
        <f>I167+1</f>
        <v>31</v>
      </c>
      <c r="D168" s="125"/>
      <c r="E168" s="125"/>
      <c r="F168" s="129"/>
      <c r="G168" s="129"/>
      <c r="H168" s="129"/>
      <c r="I168" s="114"/>
      <c r="K168" s="122">
        <v>44</v>
      </c>
      <c r="L168" s="4"/>
      <c r="M168" s="4"/>
      <c r="N168" s="4"/>
      <c r="O168" s="101"/>
      <c r="P168" s="125"/>
      <c r="Q168" s="129"/>
      <c r="R168" s="129"/>
      <c r="S168" s="129"/>
      <c r="T168" s="129"/>
      <c r="U168" s="114"/>
      <c r="V168" s="133"/>
      <c r="W168" s="100"/>
      <c r="X168" s="4"/>
      <c r="Y168" s="4"/>
      <c r="Z168" s="4"/>
      <c r="AA168" s="101"/>
      <c r="AB168" s="125"/>
      <c r="AC168" s="129"/>
      <c r="AD168" s="129"/>
      <c r="AE168" s="129"/>
      <c r="AF168" s="129"/>
      <c r="AG168" s="114"/>
      <c r="AI168" s="116"/>
      <c r="AJ168" s="4"/>
      <c r="AK168" s="4"/>
    </row>
    <row r="169" spans="1:37" x14ac:dyDescent="0.2">
      <c r="A169" s="14">
        <v>169</v>
      </c>
      <c r="C169" s="88"/>
      <c r="D169" s="88"/>
      <c r="E169" s="88"/>
      <c r="F169" s="88"/>
      <c r="G169" s="88"/>
      <c r="H169" s="88"/>
      <c r="I169" s="8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88"/>
      <c r="AB169" s="88"/>
      <c r="AC169" s="88"/>
      <c r="AD169" s="88"/>
      <c r="AE169" s="88"/>
      <c r="AF169" s="88"/>
      <c r="AG169" s="88"/>
      <c r="AH169" s="4"/>
      <c r="AI169" s="4"/>
      <c r="AJ169" s="4"/>
      <c r="AK169" s="4"/>
    </row>
    <row r="170" spans="1:37" ht="12.75" x14ac:dyDescent="0.2">
      <c r="A170" s="14">
        <v>170</v>
      </c>
      <c r="C170" s="157"/>
      <c r="D170" s="141"/>
      <c r="E170" s="141"/>
      <c r="F170" s="141"/>
      <c r="G170" s="141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1"/>
      <c r="S170" s="140"/>
      <c r="T170" s="140"/>
      <c r="U170" s="140"/>
      <c r="V170" s="140"/>
      <c r="W170" s="140"/>
      <c r="X170" s="142" t="s">
        <v>920</v>
      </c>
      <c r="Y170" s="141"/>
      <c r="Z170" s="4"/>
      <c r="AA170" s="88"/>
      <c r="AB170" s="88"/>
      <c r="AC170" s="88"/>
      <c r="AD170" s="88"/>
      <c r="AH170" s="153" t="s">
        <v>888</v>
      </c>
      <c r="AI170" s="144">
        <f>(M137+Y137+AK137+M146+Y146+AK146+M155+Y155+AK155+M164+Y164+AK164)</f>
        <v>52</v>
      </c>
    </row>
    <row r="171" spans="1:37" x14ac:dyDescent="0.2">
      <c r="A171" s="14">
        <v>171</v>
      </c>
      <c r="Z171" s="4"/>
      <c r="AA171" s="88"/>
      <c r="AB171" s="88"/>
      <c r="AC171" s="88"/>
      <c r="AD171" s="88"/>
      <c r="AH171" s="153" t="s">
        <v>889</v>
      </c>
      <c r="AI171" s="145">
        <f>(M138+Y138+AK138+M147+Y147+AK147+M156+Y156+AK156+M165+Y165+AK165)</f>
        <v>52</v>
      </c>
    </row>
    <row r="172" spans="1:37" x14ac:dyDescent="0.2">
      <c r="A172" s="14">
        <v>172</v>
      </c>
      <c r="C172" s="135"/>
      <c r="H172" s="4"/>
      <c r="I172" s="4"/>
      <c r="J172" s="4"/>
      <c r="K172" s="4"/>
      <c r="L172" s="4"/>
      <c r="M172" s="4"/>
      <c r="N172" s="4"/>
      <c r="O172" s="4"/>
      <c r="P172" s="4"/>
      <c r="Q172" s="4"/>
      <c r="S172" s="4"/>
      <c r="T172" s="4"/>
      <c r="U172" s="4"/>
      <c r="V172" s="4"/>
      <c r="W172" s="4"/>
      <c r="Z172" s="4"/>
      <c r="AA172" s="88"/>
      <c r="AB172" s="88"/>
      <c r="AC172" s="88"/>
      <c r="AD172" s="88"/>
      <c r="AH172" s="153" t="s">
        <v>890</v>
      </c>
      <c r="AI172" s="154">
        <f>(M139+Y139+AK139+M148+Y148+AK148+M157+Y157+AK157+M166+Y166+AK166)</f>
        <v>365</v>
      </c>
      <c r="AJ172" s="147" t="str">
        <f>IF(AI172&gt;365,"BISIESTO","NORMAL")</f>
        <v>NORMAL</v>
      </c>
    </row>
    <row r="173" spans="1:37" x14ac:dyDescent="0.2">
      <c r="A173" s="14">
        <v>173</v>
      </c>
      <c r="C173" s="135"/>
      <c r="H173" s="4"/>
      <c r="I173" s="4"/>
      <c r="J173" s="4"/>
      <c r="K173" s="4"/>
      <c r="L173" s="4"/>
      <c r="M173" s="4"/>
      <c r="N173" s="4"/>
      <c r="O173" s="4"/>
      <c r="P173" s="4"/>
      <c r="Q173" s="4"/>
      <c r="S173" s="4"/>
      <c r="T173" s="4"/>
      <c r="U173" s="4"/>
      <c r="V173" s="4"/>
      <c r="W173" s="4"/>
      <c r="Z173" s="4"/>
      <c r="AA173" s="88"/>
      <c r="AB173" s="88"/>
      <c r="AC173" s="88"/>
      <c r="AD173" s="88"/>
      <c r="AH173" s="153" t="s">
        <v>892</v>
      </c>
      <c r="AI173" s="149">
        <v>52</v>
      </c>
    </row>
    <row r="174" spans="1:37" x14ac:dyDescent="0.2">
      <c r="A174" s="14">
        <v>174</v>
      </c>
    </row>
    <row r="175" spans="1:37" ht="12.75" x14ac:dyDescent="0.2">
      <c r="A175" s="14">
        <v>175</v>
      </c>
      <c r="C175" s="85" t="s">
        <v>933</v>
      </c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</row>
    <row r="176" spans="1:37" x14ac:dyDescent="0.2">
      <c r="A176" s="14">
        <v>176</v>
      </c>
    </row>
    <row r="177" spans="1:37" x14ac:dyDescent="0.2">
      <c r="A177" s="14">
        <v>177</v>
      </c>
      <c r="C177" s="87" t="s">
        <v>934</v>
      </c>
      <c r="D177" s="88"/>
      <c r="E177" s="88"/>
      <c r="F177" s="88"/>
      <c r="G177" s="88"/>
      <c r="H177" s="88"/>
      <c r="I177" s="88"/>
      <c r="J177" s="4"/>
      <c r="K177" s="4"/>
      <c r="L177" s="89"/>
      <c r="M177" s="90"/>
      <c r="N177" s="4"/>
      <c r="O177" s="87" t="s">
        <v>935</v>
      </c>
      <c r="P177" s="88"/>
      <c r="Q177" s="88"/>
      <c r="R177" s="88"/>
      <c r="S177" s="88"/>
      <c r="T177" s="88"/>
      <c r="U177" s="88"/>
      <c r="V177" s="4"/>
      <c r="W177" s="4"/>
      <c r="X177" s="4"/>
      <c r="Y177" s="4"/>
      <c r="Z177" s="4"/>
      <c r="AA177" s="87" t="s">
        <v>936</v>
      </c>
      <c r="AB177" s="88"/>
      <c r="AC177" s="88"/>
      <c r="AD177" s="88"/>
      <c r="AE177" s="88"/>
      <c r="AF177" s="88"/>
      <c r="AG177" s="88"/>
      <c r="AH177" s="4"/>
      <c r="AI177" s="4"/>
      <c r="AJ177" s="4"/>
      <c r="AK177" s="4"/>
    </row>
    <row r="178" spans="1:37" x14ac:dyDescent="0.2">
      <c r="A178" s="14">
        <v>178</v>
      </c>
      <c r="C178" s="55" t="s">
        <v>3</v>
      </c>
      <c r="D178" s="55" t="s">
        <v>177</v>
      </c>
      <c r="E178" s="55" t="s">
        <v>178</v>
      </c>
      <c r="F178" s="55" t="s">
        <v>178</v>
      </c>
      <c r="G178" s="55" t="s">
        <v>9</v>
      </c>
      <c r="H178" s="55" t="s">
        <v>857</v>
      </c>
      <c r="I178" s="55" t="s">
        <v>854</v>
      </c>
      <c r="K178" s="56" t="s">
        <v>877</v>
      </c>
      <c r="L178" s="4"/>
      <c r="M178" s="4"/>
      <c r="N178" s="4"/>
      <c r="O178" s="55" t="s">
        <v>3</v>
      </c>
      <c r="P178" s="55" t="s">
        <v>177</v>
      </c>
      <c r="Q178" s="55" t="s">
        <v>178</v>
      </c>
      <c r="R178" s="55" t="s">
        <v>178</v>
      </c>
      <c r="S178" s="55" t="s">
        <v>9</v>
      </c>
      <c r="T178" s="55" t="s">
        <v>857</v>
      </c>
      <c r="U178" s="55" t="s">
        <v>854</v>
      </c>
      <c r="W178" s="56" t="s">
        <v>877</v>
      </c>
      <c r="X178" s="4"/>
      <c r="Y178" s="57"/>
      <c r="Z178" s="4"/>
      <c r="AA178" s="55" t="s">
        <v>3</v>
      </c>
      <c r="AB178" s="55" t="s">
        <v>177</v>
      </c>
      <c r="AC178" s="55" t="s">
        <v>178</v>
      </c>
      <c r="AD178" s="55" t="s">
        <v>178</v>
      </c>
      <c r="AE178" s="55" t="s">
        <v>9</v>
      </c>
      <c r="AF178" s="55" t="s">
        <v>857</v>
      </c>
      <c r="AG178" s="55" t="s">
        <v>854</v>
      </c>
      <c r="AI178" s="56" t="s">
        <v>877</v>
      </c>
      <c r="AJ178" s="4"/>
      <c r="AK178" s="4"/>
    </row>
    <row r="179" spans="1:37" x14ac:dyDescent="0.2">
      <c r="A179" s="14">
        <v>179</v>
      </c>
      <c r="C179" s="58"/>
      <c r="D179" s="91"/>
      <c r="E179" s="156"/>
      <c r="F179" s="91"/>
      <c r="G179" s="102"/>
      <c r="H179" s="131"/>
      <c r="I179" s="92">
        <f>H179+1</f>
        <v>1</v>
      </c>
      <c r="K179" s="93">
        <v>1</v>
      </c>
      <c r="L179" s="94"/>
      <c r="M179" s="95"/>
      <c r="N179" s="96"/>
      <c r="O179" s="101"/>
      <c r="P179" s="91"/>
      <c r="Q179" s="91">
        <f>P179+1</f>
        <v>1</v>
      </c>
      <c r="R179" s="91">
        <f>Q179+1</f>
        <v>2</v>
      </c>
      <c r="S179" s="91">
        <f>R179+1</f>
        <v>3</v>
      </c>
      <c r="T179" s="91">
        <f>S179+1</f>
        <v>4</v>
      </c>
      <c r="U179" s="92">
        <f>T179+1</f>
        <v>5</v>
      </c>
      <c r="W179" s="98">
        <v>6</v>
      </c>
      <c r="X179" s="94"/>
      <c r="Y179" s="99"/>
      <c r="Z179" s="96"/>
      <c r="AA179" s="101"/>
      <c r="AB179" s="91"/>
      <c r="AC179" s="91">
        <f>AB179+1</f>
        <v>1</v>
      </c>
      <c r="AD179" s="91">
        <f>AC179+1</f>
        <v>2</v>
      </c>
      <c r="AE179" s="91">
        <f>AD179+1</f>
        <v>3</v>
      </c>
      <c r="AF179" s="91">
        <f>AE179+1</f>
        <v>4</v>
      </c>
      <c r="AG179" s="92">
        <f>AF179+1</f>
        <v>5</v>
      </c>
      <c r="AI179" s="100">
        <v>10</v>
      </c>
      <c r="AJ179" s="94"/>
      <c r="AK179" s="49"/>
    </row>
    <row r="180" spans="1:37" x14ac:dyDescent="0.2">
      <c r="A180" s="14">
        <v>180</v>
      </c>
      <c r="C180" s="101">
        <f>I179+1</f>
        <v>2</v>
      </c>
      <c r="D180" s="91">
        <f t="shared" ref="D180:H183" si="24">C180+1</f>
        <v>3</v>
      </c>
      <c r="E180" s="91">
        <f t="shared" si="24"/>
        <v>4</v>
      </c>
      <c r="F180" s="91">
        <f t="shared" si="24"/>
        <v>5</v>
      </c>
      <c r="G180" s="91">
        <f t="shared" si="24"/>
        <v>6</v>
      </c>
      <c r="H180" s="91">
        <f t="shared" si="24"/>
        <v>7</v>
      </c>
      <c r="I180" s="92">
        <f>H180+1</f>
        <v>8</v>
      </c>
      <c r="K180" s="93">
        <v>2</v>
      </c>
      <c r="L180" s="103" t="s">
        <v>418</v>
      </c>
      <c r="M180" s="104">
        <v>5</v>
      </c>
      <c r="N180" s="96"/>
      <c r="O180" s="101">
        <f>U179+1</f>
        <v>6</v>
      </c>
      <c r="P180" s="91">
        <f t="shared" ref="P180:U180" si="25">O180+1</f>
        <v>7</v>
      </c>
      <c r="Q180" s="91">
        <f t="shared" si="25"/>
        <v>8</v>
      </c>
      <c r="R180" s="91">
        <f t="shared" si="25"/>
        <v>9</v>
      </c>
      <c r="S180" s="91">
        <f t="shared" si="25"/>
        <v>10</v>
      </c>
      <c r="T180" s="91">
        <f t="shared" si="25"/>
        <v>11</v>
      </c>
      <c r="U180" s="92">
        <f t="shared" si="25"/>
        <v>12</v>
      </c>
      <c r="W180" s="98">
        <v>7</v>
      </c>
      <c r="X180" s="103" t="s">
        <v>418</v>
      </c>
      <c r="Y180" s="105">
        <v>4</v>
      </c>
      <c r="Z180" s="96"/>
      <c r="AA180" s="101">
        <f>AG179+1</f>
        <v>6</v>
      </c>
      <c r="AB180" s="91">
        <f t="shared" ref="AB180:AG180" si="26">AA180+1</f>
        <v>7</v>
      </c>
      <c r="AC180" s="91">
        <f t="shared" si="26"/>
        <v>8</v>
      </c>
      <c r="AD180" s="91">
        <f t="shared" si="26"/>
        <v>9</v>
      </c>
      <c r="AE180" s="91">
        <f t="shared" si="26"/>
        <v>10</v>
      </c>
      <c r="AF180" s="91">
        <f t="shared" si="26"/>
        <v>11</v>
      </c>
      <c r="AG180" s="92">
        <f t="shared" si="26"/>
        <v>12</v>
      </c>
      <c r="AI180" s="100">
        <v>11</v>
      </c>
      <c r="AJ180" s="103" t="s">
        <v>418</v>
      </c>
      <c r="AK180" s="106">
        <v>4</v>
      </c>
    </row>
    <row r="181" spans="1:37" x14ac:dyDescent="0.2">
      <c r="A181" s="14">
        <v>181</v>
      </c>
      <c r="C181" s="101">
        <f>I180+1</f>
        <v>9</v>
      </c>
      <c r="D181" s="91">
        <f t="shared" si="24"/>
        <v>10</v>
      </c>
      <c r="E181" s="91">
        <f t="shared" si="24"/>
        <v>11</v>
      </c>
      <c r="F181" s="91">
        <f t="shared" si="24"/>
        <v>12</v>
      </c>
      <c r="G181" s="91">
        <f t="shared" si="24"/>
        <v>13</v>
      </c>
      <c r="H181" s="91">
        <f t="shared" si="24"/>
        <v>14</v>
      </c>
      <c r="I181" s="92">
        <f>H181+1</f>
        <v>15</v>
      </c>
      <c r="K181" s="93">
        <v>3</v>
      </c>
      <c r="L181" s="103" t="s">
        <v>425</v>
      </c>
      <c r="M181" s="104">
        <v>5</v>
      </c>
      <c r="N181" s="96"/>
      <c r="O181" s="101">
        <f>U180+1</f>
        <v>13</v>
      </c>
      <c r="P181" s="91">
        <f t="shared" ref="P181:U181" si="27">O181+1</f>
        <v>14</v>
      </c>
      <c r="Q181" s="91">
        <f t="shared" si="27"/>
        <v>15</v>
      </c>
      <c r="R181" s="91">
        <f t="shared" si="27"/>
        <v>16</v>
      </c>
      <c r="S181" s="91">
        <f t="shared" si="27"/>
        <v>17</v>
      </c>
      <c r="T181" s="91">
        <f t="shared" si="27"/>
        <v>18</v>
      </c>
      <c r="U181" s="92">
        <f t="shared" si="27"/>
        <v>19</v>
      </c>
      <c r="W181" s="98">
        <v>8</v>
      </c>
      <c r="X181" s="103" t="s">
        <v>425</v>
      </c>
      <c r="Y181" s="105">
        <v>4</v>
      </c>
      <c r="Z181" s="96"/>
      <c r="AA181" s="101">
        <f>AG180+1</f>
        <v>13</v>
      </c>
      <c r="AB181" s="91">
        <f t="shared" ref="AB181:AG181" si="28">AA181+1</f>
        <v>14</v>
      </c>
      <c r="AC181" s="91">
        <f t="shared" si="28"/>
        <v>15</v>
      </c>
      <c r="AD181" s="91">
        <f t="shared" si="28"/>
        <v>16</v>
      </c>
      <c r="AE181" s="91">
        <f t="shared" si="28"/>
        <v>17</v>
      </c>
      <c r="AF181" s="91">
        <f t="shared" si="28"/>
        <v>18</v>
      </c>
      <c r="AG181" s="92">
        <f t="shared" si="28"/>
        <v>19</v>
      </c>
      <c r="AI181" s="100">
        <v>12</v>
      </c>
      <c r="AJ181" s="103" t="s">
        <v>425</v>
      </c>
      <c r="AK181" s="106">
        <v>4</v>
      </c>
    </row>
    <row r="182" spans="1:37" x14ac:dyDescent="0.2">
      <c r="A182" s="14">
        <v>182</v>
      </c>
      <c r="C182" s="101">
        <f>I181+1</f>
        <v>16</v>
      </c>
      <c r="D182" s="91">
        <f t="shared" si="24"/>
        <v>17</v>
      </c>
      <c r="E182" s="91">
        <f t="shared" si="24"/>
        <v>18</v>
      </c>
      <c r="F182" s="91">
        <f t="shared" si="24"/>
        <v>19</v>
      </c>
      <c r="G182" s="91">
        <f t="shared" si="24"/>
        <v>20</v>
      </c>
      <c r="H182" s="91">
        <f t="shared" si="24"/>
        <v>21</v>
      </c>
      <c r="I182" s="92">
        <f>H182+1</f>
        <v>22</v>
      </c>
      <c r="K182" s="93">
        <v>4</v>
      </c>
      <c r="L182" s="103" t="s">
        <v>878</v>
      </c>
      <c r="M182" s="104">
        <v>31</v>
      </c>
      <c r="N182" s="96"/>
      <c r="O182" s="101">
        <f>U181+1</f>
        <v>20</v>
      </c>
      <c r="P182" s="91">
        <f t="shared" ref="P182:U182" si="29">O182+1</f>
        <v>21</v>
      </c>
      <c r="Q182" s="91">
        <f t="shared" si="29"/>
        <v>22</v>
      </c>
      <c r="R182" s="91">
        <f t="shared" si="29"/>
        <v>23</v>
      </c>
      <c r="S182" s="91">
        <f t="shared" si="29"/>
        <v>24</v>
      </c>
      <c r="T182" s="91">
        <f t="shared" si="29"/>
        <v>25</v>
      </c>
      <c r="U182" s="92">
        <f t="shared" si="29"/>
        <v>26</v>
      </c>
      <c r="W182" s="98">
        <v>9</v>
      </c>
      <c r="X182" s="103" t="s">
        <v>878</v>
      </c>
      <c r="Y182" s="105">
        <v>28</v>
      </c>
      <c r="Z182" s="96"/>
      <c r="AA182" s="101">
        <f>AG181+1</f>
        <v>20</v>
      </c>
      <c r="AB182" s="91">
        <f t="shared" ref="AB182:AG182" si="30">AA182+1</f>
        <v>21</v>
      </c>
      <c r="AC182" s="91">
        <f t="shared" si="30"/>
        <v>22</v>
      </c>
      <c r="AD182" s="91">
        <f t="shared" si="30"/>
        <v>23</v>
      </c>
      <c r="AE182" s="124">
        <f t="shared" si="30"/>
        <v>24</v>
      </c>
      <c r="AF182" s="131">
        <f t="shared" si="30"/>
        <v>25</v>
      </c>
      <c r="AG182" s="92">
        <f t="shared" si="30"/>
        <v>26</v>
      </c>
      <c r="AI182" s="100">
        <v>13</v>
      </c>
      <c r="AJ182" s="103" t="s">
        <v>878</v>
      </c>
      <c r="AK182" s="106">
        <v>31</v>
      </c>
    </row>
    <row r="183" spans="1:37" x14ac:dyDescent="0.2">
      <c r="A183" s="14">
        <v>183</v>
      </c>
      <c r="C183" s="101">
        <f>I182+1</f>
        <v>23</v>
      </c>
      <c r="D183" s="91">
        <f t="shared" si="24"/>
        <v>24</v>
      </c>
      <c r="E183" s="91">
        <f t="shared" si="24"/>
        <v>25</v>
      </c>
      <c r="F183" s="91">
        <f t="shared" si="24"/>
        <v>26</v>
      </c>
      <c r="G183" s="91">
        <f t="shared" si="24"/>
        <v>27</v>
      </c>
      <c r="H183" s="91">
        <f t="shared" si="24"/>
        <v>28</v>
      </c>
      <c r="I183" s="92">
        <f>H183+1</f>
        <v>29</v>
      </c>
      <c r="K183" s="93">
        <v>5</v>
      </c>
      <c r="L183" s="107"/>
      <c r="M183" s="108"/>
      <c r="N183" s="96"/>
      <c r="O183" s="101">
        <v>27</v>
      </c>
      <c r="P183" s="91">
        <v>28</v>
      </c>
      <c r="Q183" s="91"/>
      <c r="R183" s="91"/>
      <c r="S183" s="91"/>
      <c r="T183" s="91"/>
      <c r="U183" s="92"/>
      <c r="W183" s="98">
        <v>10</v>
      </c>
      <c r="X183" s="107"/>
      <c r="Y183" s="109"/>
      <c r="Z183" s="96"/>
      <c r="AA183" s="101">
        <f>AG182+1</f>
        <v>27</v>
      </c>
      <c r="AB183" s="91">
        <f>AA183+1</f>
        <v>28</v>
      </c>
      <c r="AC183" s="91">
        <f>AB183+1</f>
        <v>29</v>
      </c>
      <c r="AD183" s="134">
        <v>30</v>
      </c>
      <c r="AE183" s="91">
        <v>31</v>
      </c>
      <c r="AF183" s="91"/>
      <c r="AG183" s="92"/>
      <c r="AI183" s="100">
        <v>14</v>
      </c>
      <c r="AJ183" s="111"/>
      <c r="AK183" s="112"/>
    </row>
    <row r="184" spans="1:37" x14ac:dyDescent="0.2">
      <c r="A184" s="14">
        <v>184</v>
      </c>
      <c r="C184" s="101">
        <v>30</v>
      </c>
      <c r="D184" s="91">
        <v>31</v>
      </c>
      <c r="E184" s="91"/>
      <c r="F184" s="113"/>
      <c r="G184" s="113"/>
      <c r="H184" s="113"/>
      <c r="I184" s="114"/>
      <c r="K184" s="93">
        <v>6</v>
      </c>
      <c r="L184" s="107"/>
      <c r="M184" s="115"/>
      <c r="N184" s="96"/>
      <c r="O184" s="101"/>
      <c r="P184" s="91"/>
      <c r="Q184" s="113"/>
      <c r="R184" s="113"/>
      <c r="S184" s="113"/>
      <c r="T184" s="113"/>
      <c r="U184" s="114"/>
      <c r="W184" s="98"/>
      <c r="X184" s="107"/>
      <c r="Y184" s="96"/>
      <c r="Z184" s="96"/>
      <c r="AA184" s="101"/>
      <c r="AB184" s="91"/>
      <c r="AC184" s="113"/>
      <c r="AD184" s="113"/>
      <c r="AE184" s="113"/>
      <c r="AF184" s="113"/>
      <c r="AG184" s="114"/>
      <c r="AI184" s="100"/>
      <c r="AJ184" s="111"/>
      <c r="AK184" s="4"/>
    </row>
    <row r="185" spans="1:37" x14ac:dyDescent="0.2">
      <c r="A185" s="14">
        <v>185</v>
      </c>
      <c r="C185" s="88"/>
      <c r="D185" s="88"/>
      <c r="E185" s="88"/>
      <c r="F185" s="88"/>
      <c r="G185" s="88"/>
      <c r="H185" s="88"/>
      <c r="I185" s="88"/>
      <c r="K185" s="117"/>
      <c r="L185" s="111"/>
      <c r="M185" s="118"/>
      <c r="N185" s="4"/>
      <c r="O185" s="4"/>
      <c r="P185" s="4"/>
      <c r="Q185" s="4"/>
      <c r="R185" s="4"/>
      <c r="S185" s="4"/>
      <c r="T185" s="4"/>
      <c r="U185" s="4"/>
      <c r="W185" s="119"/>
      <c r="X185" s="111"/>
      <c r="Y185" s="4"/>
      <c r="Z185" s="4"/>
      <c r="AA185" s="4"/>
      <c r="AB185" s="4"/>
      <c r="AC185" s="4"/>
      <c r="AD185" s="4"/>
      <c r="AE185" s="4"/>
      <c r="AF185" s="4"/>
      <c r="AG185" s="4"/>
      <c r="AI185" s="120"/>
      <c r="AJ185" s="111"/>
      <c r="AK185" s="4"/>
    </row>
    <row r="186" spans="1:37" x14ac:dyDescent="0.2">
      <c r="A186" s="14">
        <v>186</v>
      </c>
      <c r="C186" s="87" t="s">
        <v>937</v>
      </c>
      <c r="D186" s="88"/>
      <c r="E186" s="88"/>
      <c r="F186" s="88"/>
      <c r="G186" s="88"/>
      <c r="H186" s="88"/>
      <c r="I186" s="88"/>
      <c r="K186" s="117"/>
      <c r="L186" s="111"/>
      <c r="M186" s="121"/>
      <c r="N186" s="4"/>
      <c r="O186" s="87" t="s">
        <v>938</v>
      </c>
      <c r="P186" s="88"/>
      <c r="Q186" s="88"/>
      <c r="R186" s="88"/>
      <c r="S186" s="88"/>
      <c r="T186" s="88"/>
      <c r="U186" s="88"/>
      <c r="W186" s="119"/>
      <c r="X186" s="111"/>
      <c r="Y186" s="4"/>
      <c r="Z186" s="4"/>
      <c r="AA186" s="87" t="s">
        <v>939</v>
      </c>
      <c r="AB186" s="88"/>
      <c r="AC186" s="88"/>
      <c r="AD186" s="88"/>
      <c r="AE186" s="88"/>
      <c r="AF186" s="88"/>
      <c r="AG186" s="88"/>
      <c r="AI186" s="120"/>
      <c r="AJ186" s="111"/>
      <c r="AK186" s="4"/>
    </row>
    <row r="187" spans="1:37" x14ac:dyDescent="0.2">
      <c r="A187" s="14">
        <v>187</v>
      </c>
      <c r="C187" s="55" t="s">
        <v>3</v>
      </c>
      <c r="D187" s="55" t="s">
        <v>177</v>
      </c>
      <c r="E187" s="55" t="s">
        <v>178</v>
      </c>
      <c r="F187" s="55" t="s">
        <v>178</v>
      </c>
      <c r="G187" s="55" t="s">
        <v>9</v>
      </c>
      <c r="H187" s="55" t="s">
        <v>857</v>
      </c>
      <c r="I187" s="55" t="s">
        <v>854</v>
      </c>
      <c r="K187" s="56" t="s">
        <v>877</v>
      </c>
      <c r="L187" s="111"/>
      <c r="M187" s="121"/>
      <c r="N187" s="4"/>
      <c r="O187" s="55" t="s">
        <v>3</v>
      </c>
      <c r="P187" s="55" t="s">
        <v>177</v>
      </c>
      <c r="Q187" s="55" t="s">
        <v>178</v>
      </c>
      <c r="R187" s="55" t="s">
        <v>178</v>
      </c>
      <c r="S187" s="55" t="s">
        <v>9</v>
      </c>
      <c r="T187" s="55" t="s">
        <v>857</v>
      </c>
      <c r="U187" s="55" t="s">
        <v>854</v>
      </c>
      <c r="W187" s="56" t="s">
        <v>877</v>
      </c>
      <c r="X187" s="111"/>
      <c r="Y187" s="4"/>
      <c r="Z187" s="4"/>
      <c r="AA187" s="55" t="s">
        <v>3</v>
      </c>
      <c r="AB187" s="55" t="s">
        <v>177</v>
      </c>
      <c r="AC187" s="55" t="s">
        <v>178</v>
      </c>
      <c r="AD187" s="55" t="s">
        <v>178</v>
      </c>
      <c r="AE187" s="55" t="s">
        <v>9</v>
      </c>
      <c r="AF187" s="55" t="s">
        <v>857</v>
      </c>
      <c r="AG187" s="55" t="s">
        <v>854</v>
      </c>
      <c r="AI187" s="56" t="s">
        <v>877</v>
      </c>
      <c r="AJ187" s="111"/>
      <c r="AK187" s="4"/>
    </row>
    <row r="188" spans="1:37" x14ac:dyDescent="0.2">
      <c r="A188" s="14">
        <v>188</v>
      </c>
      <c r="C188" s="58"/>
      <c r="D188" s="91"/>
      <c r="E188" s="91"/>
      <c r="F188" s="91"/>
      <c r="G188" s="131"/>
      <c r="H188" s="131">
        <f>G188+1</f>
        <v>1</v>
      </c>
      <c r="I188" s="92">
        <f>H188+1</f>
        <v>2</v>
      </c>
      <c r="K188" s="122">
        <v>14</v>
      </c>
      <c r="L188" s="94"/>
      <c r="M188" s="123"/>
      <c r="N188" s="4"/>
      <c r="O188" s="58"/>
      <c r="P188" s="97"/>
      <c r="Q188" s="125"/>
      <c r="R188" s="125"/>
      <c r="S188" s="125"/>
      <c r="T188" s="124"/>
      <c r="U188" s="92"/>
      <c r="W188" s="100">
        <v>18</v>
      </c>
      <c r="X188" s="94"/>
      <c r="Y188" s="49"/>
      <c r="Z188" s="4"/>
      <c r="AA188" s="101"/>
      <c r="AB188" s="125"/>
      <c r="AC188" s="125"/>
      <c r="AD188" s="125">
        <f>AC188+1</f>
        <v>1</v>
      </c>
      <c r="AE188" s="125">
        <f>AD188+1</f>
        <v>2</v>
      </c>
      <c r="AF188" s="125">
        <f>AE188+1</f>
        <v>3</v>
      </c>
      <c r="AG188" s="92">
        <f>AF188+1</f>
        <v>4</v>
      </c>
      <c r="AI188" s="100">
        <v>23</v>
      </c>
      <c r="AJ188" s="94"/>
      <c r="AK188" s="123"/>
    </row>
    <row r="189" spans="1:37" x14ac:dyDescent="0.2">
      <c r="A189" s="14">
        <v>189</v>
      </c>
      <c r="C189" s="101">
        <f>I188+1</f>
        <v>3</v>
      </c>
      <c r="D189" s="91">
        <f t="shared" ref="D189:I189" si="31">C189+1</f>
        <v>4</v>
      </c>
      <c r="E189" s="91">
        <f t="shared" si="31"/>
        <v>5</v>
      </c>
      <c r="F189" s="91">
        <f t="shared" si="31"/>
        <v>6</v>
      </c>
      <c r="G189" s="124">
        <f t="shared" si="31"/>
        <v>7</v>
      </c>
      <c r="H189" s="124">
        <f t="shared" si="31"/>
        <v>8</v>
      </c>
      <c r="I189" s="92">
        <f t="shared" si="31"/>
        <v>9</v>
      </c>
      <c r="K189" s="122">
        <v>15</v>
      </c>
      <c r="L189" s="103" t="s">
        <v>418</v>
      </c>
      <c r="M189" s="126">
        <v>4</v>
      </c>
      <c r="N189" s="4"/>
      <c r="O189" s="101">
        <f>U188+1</f>
        <v>1</v>
      </c>
      <c r="P189" s="125">
        <f t="shared" ref="P189:U189" si="32">O189+1</f>
        <v>2</v>
      </c>
      <c r="Q189" s="125">
        <f t="shared" si="32"/>
        <v>3</v>
      </c>
      <c r="R189" s="125">
        <f t="shared" si="32"/>
        <v>4</v>
      </c>
      <c r="S189" s="125">
        <f t="shared" si="32"/>
        <v>5</v>
      </c>
      <c r="T189" s="125">
        <f t="shared" si="32"/>
        <v>6</v>
      </c>
      <c r="U189" s="92">
        <f t="shared" si="32"/>
        <v>7</v>
      </c>
      <c r="W189" s="100">
        <v>19</v>
      </c>
      <c r="X189" s="103" t="s">
        <v>418</v>
      </c>
      <c r="Y189" s="106">
        <v>5</v>
      </c>
      <c r="Z189" s="4"/>
      <c r="AA189" s="101">
        <f>AG188+1</f>
        <v>5</v>
      </c>
      <c r="AB189" s="125">
        <f t="shared" ref="AB189:AG189" si="33">AA189+1</f>
        <v>6</v>
      </c>
      <c r="AC189" s="125">
        <f t="shared" si="33"/>
        <v>7</v>
      </c>
      <c r="AD189" s="125">
        <f t="shared" si="33"/>
        <v>8</v>
      </c>
      <c r="AE189" s="125">
        <f t="shared" si="33"/>
        <v>9</v>
      </c>
      <c r="AF189" s="125">
        <f t="shared" si="33"/>
        <v>10</v>
      </c>
      <c r="AG189" s="92">
        <f t="shared" si="33"/>
        <v>11</v>
      </c>
      <c r="AI189" s="100">
        <v>24</v>
      </c>
      <c r="AJ189" s="103" t="s">
        <v>418</v>
      </c>
      <c r="AK189" s="106">
        <v>4</v>
      </c>
    </row>
    <row r="190" spans="1:37" x14ac:dyDescent="0.2">
      <c r="A190" s="14">
        <v>190</v>
      </c>
      <c r="C190" s="101">
        <f>I189+1</f>
        <v>10</v>
      </c>
      <c r="D190" s="91">
        <f t="shared" ref="D190:I190" si="34">C190+1</f>
        <v>11</v>
      </c>
      <c r="E190" s="91">
        <f t="shared" si="34"/>
        <v>12</v>
      </c>
      <c r="F190" s="91">
        <f t="shared" si="34"/>
        <v>13</v>
      </c>
      <c r="G190" s="91">
        <f t="shared" si="34"/>
        <v>14</v>
      </c>
      <c r="H190" s="91">
        <f t="shared" si="34"/>
        <v>15</v>
      </c>
      <c r="I190" s="92">
        <f t="shared" si="34"/>
        <v>16</v>
      </c>
      <c r="K190" s="122">
        <v>16</v>
      </c>
      <c r="L190" s="103" t="s">
        <v>425</v>
      </c>
      <c r="M190" s="126">
        <v>5</v>
      </c>
      <c r="N190" s="4"/>
      <c r="O190" s="101">
        <f>U189+1</f>
        <v>8</v>
      </c>
      <c r="P190" s="125">
        <f t="shared" ref="P190:U190" si="35">O190+1</f>
        <v>9</v>
      </c>
      <c r="Q190" s="125">
        <f t="shared" si="35"/>
        <v>10</v>
      </c>
      <c r="R190" s="125">
        <f t="shared" si="35"/>
        <v>11</v>
      </c>
      <c r="S190" s="125">
        <f t="shared" si="35"/>
        <v>12</v>
      </c>
      <c r="T190" s="125">
        <f t="shared" si="35"/>
        <v>13</v>
      </c>
      <c r="U190" s="92">
        <f t="shared" si="35"/>
        <v>14</v>
      </c>
      <c r="W190" s="100">
        <v>20</v>
      </c>
      <c r="X190" s="103" t="s">
        <v>425</v>
      </c>
      <c r="Y190" s="106">
        <v>4</v>
      </c>
      <c r="Z190" s="4"/>
      <c r="AA190" s="101">
        <f>AG189+1</f>
        <v>12</v>
      </c>
      <c r="AB190" s="125">
        <f t="shared" ref="AB190:AG190" si="36">AA190+1</f>
        <v>13</v>
      </c>
      <c r="AC190" s="125">
        <f t="shared" si="36"/>
        <v>14</v>
      </c>
      <c r="AD190" s="125">
        <f t="shared" si="36"/>
        <v>15</v>
      </c>
      <c r="AE190" s="125">
        <f t="shared" si="36"/>
        <v>16</v>
      </c>
      <c r="AF190" s="125">
        <f t="shared" si="36"/>
        <v>17</v>
      </c>
      <c r="AG190" s="92">
        <f t="shared" si="36"/>
        <v>18</v>
      </c>
      <c r="AI190" s="100">
        <v>25</v>
      </c>
      <c r="AJ190" s="103" t="s">
        <v>425</v>
      </c>
      <c r="AK190" s="106">
        <v>4</v>
      </c>
    </row>
    <row r="191" spans="1:37" x14ac:dyDescent="0.2">
      <c r="A191" s="14">
        <v>191</v>
      </c>
      <c r="C191" s="101">
        <f>I190+1</f>
        <v>17</v>
      </c>
      <c r="D191" s="131">
        <f t="shared" ref="D191:I191" si="37">C191+1</f>
        <v>18</v>
      </c>
      <c r="E191" s="97">
        <f t="shared" si="37"/>
        <v>19</v>
      </c>
      <c r="F191" s="97">
        <f t="shared" si="37"/>
        <v>20</v>
      </c>
      <c r="G191" s="91">
        <f t="shared" si="37"/>
        <v>21</v>
      </c>
      <c r="H191" s="91">
        <f t="shared" si="37"/>
        <v>22</v>
      </c>
      <c r="I191" s="92">
        <f t="shared" si="37"/>
        <v>23</v>
      </c>
      <c r="K191" s="122">
        <v>17</v>
      </c>
      <c r="L191" s="103" t="s">
        <v>878</v>
      </c>
      <c r="M191" s="126">
        <v>30</v>
      </c>
      <c r="N191" s="4"/>
      <c r="O191" s="101">
        <f>U190+1</f>
        <v>15</v>
      </c>
      <c r="P191" s="125">
        <f t="shared" ref="P191:U191" si="38">O191+1</f>
        <v>16</v>
      </c>
      <c r="Q191" s="125">
        <f t="shared" si="38"/>
        <v>17</v>
      </c>
      <c r="R191" s="125">
        <f t="shared" si="38"/>
        <v>18</v>
      </c>
      <c r="S191" s="125">
        <f t="shared" si="38"/>
        <v>19</v>
      </c>
      <c r="T191" s="125">
        <f t="shared" si="38"/>
        <v>20</v>
      </c>
      <c r="U191" s="92">
        <f t="shared" si="38"/>
        <v>21</v>
      </c>
      <c r="W191" s="100">
        <v>21</v>
      </c>
      <c r="X191" s="103" t="s">
        <v>878</v>
      </c>
      <c r="Y191" s="106">
        <v>31</v>
      </c>
      <c r="Z191" s="4"/>
      <c r="AA191" s="101">
        <f>AG190+1</f>
        <v>19</v>
      </c>
      <c r="AB191" s="125">
        <f t="shared" ref="AB191:AG191" si="39">AA191+1</f>
        <v>20</v>
      </c>
      <c r="AC191" s="97">
        <f t="shared" si="39"/>
        <v>21</v>
      </c>
      <c r="AD191" s="130">
        <f t="shared" si="39"/>
        <v>22</v>
      </c>
      <c r="AE191" s="130">
        <f t="shared" si="39"/>
        <v>23</v>
      </c>
      <c r="AF191" s="97">
        <f t="shared" si="39"/>
        <v>24</v>
      </c>
      <c r="AG191" s="92">
        <f t="shared" si="39"/>
        <v>25</v>
      </c>
      <c r="AI191" s="100">
        <v>26</v>
      </c>
      <c r="AJ191" s="103" t="s">
        <v>878</v>
      </c>
      <c r="AK191" s="106">
        <v>30</v>
      </c>
    </row>
    <row r="192" spans="1:37" x14ac:dyDescent="0.2">
      <c r="A192" s="14">
        <v>192</v>
      </c>
      <c r="C192" s="101">
        <f>I191+1</f>
        <v>24</v>
      </c>
      <c r="D192" s="91">
        <f>C192+1</f>
        <v>25</v>
      </c>
      <c r="E192" s="91">
        <f>D192+1</f>
        <v>26</v>
      </c>
      <c r="F192" s="91">
        <f>E192+1</f>
        <v>27</v>
      </c>
      <c r="G192" s="91">
        <f>F192+1</f>
        <v>28</v>
      </c>
      <c r="H192" s="91">
        <f>G192+1</f>
        <v>29</v>
      </c>
      <c r="I192" s="92">
        <v>30</v>
      </c>
      <c r="K192" s="122">
        <v>18</v>
      </c>
      <c r="L192" s="111"/>
      <c r="M192" s="127"/>
      <c r="N192" s="4"/>
      <c r="O192" s="101">
        <f>U191+1</f>
        <v>22</v>
      </c>
      <c r="P192" s="125">
        <f t="shared" ref="P192:U192" si="40">O192+1</f>
        <v>23</v>
      </c>
      <c r="Q192" s="125">
        <f t="shared" si="40"/>
        <v>24</v>
      </c>
      <c r="R192" s="125">
        <f t="shared" si="40"/>
        <v>25</v>
      </c>
      <c r="S192" s="125">
        <f t="shared" si="40"/>
        <v>26</v>
      </c>
      <c r="T192" s="125">
        <f t="shared" si="40"/>
        <v>27</v>
      </c>
      <c r="U192" s="92">
        <f t="shared" si="40"/>
        <v>28</v>
      </c>
      <c r="W192" s="100">
        <v>22</v>
      </c>
      <c r="X192" s="111"/>
      <c r="Y192" s="128"/>
      <c r="Z192" s="4"/>
      <c r="AA192" s="101">
        <f>AG191+1</f>
        <v>26</v>
      </c>
      <c r="AB192" s="125">
        <f>AA192+1</f>
        <v>27</v>
      </c>
      <c r="AC192" s="130">
        <f>AB192+1</f>
        <v>28</v>
      </c>
      <c r="AD192" s="125">
        <f>AC192+1</f>
        <v>29</v>
      </c>
      <c r="AE192" s="125">
        <v>30</v>
      </c>
      <c r="AF192" s="125"/>
      <c r="AG192" s="92"/>
      <c r="AI192" s="100">
        <v>27</v>
      </c>
      <c r="AJ192" s="111"/>
      <c r="AK192" s="112"/>
    </row>
    <row r="193" spans="1:37" x14ac:dyDescent="0.2">
      <c r="A193" s="14">
        <v>193</v>
      </c>
      <c r="C193" s="101"/>
      <c r="D193" s="91"/>
      <c r="E193" s="113"/>
      <c r="F193" s="113"/>
      <c r="G193" s="113"/>
      <c r="H193" s="113"/>
      <c r="I193" s="114"/>
      <c r="K193" s="122"/>
      <c r="L193" s="111"/>
      <c r="M193" s="121"/>
      <c r="N193" s="4"/>
      <c r="O193" s="101">
        <v>29</v>
      </c>
      <c r="P193" s="125">
        <f>O193+1</f>
        <v>30</v>
      </c>
      <c r="Q193" s="401">
        <v>31</v>
      </c>
      <c r="R193" s="129"/>
      <c r="S193" s="129"/>
      <c r="T193" s="129"/>
      <c r="U193" s="114"/>
      <c r="W193" s="100">
        <v>23</v>
      </c>
      <c r="X193" s="111"/>
      <c r="Y193" s="4"/>
      <c r="Z193" s="4"/>
      <c r="AA193" s="101"/>
      <c r="AB193" s="125"/>
      <c r="AC193" s="129"/>
      <c r="AD193" s="129"/>
      <c r="AE193" s="129"/>
      <c r="AF193" s="129"/>
      <c r="AG193" s="114"/>
      <c r="AI193" s="100"/>
      <c r="AJ193" s="111"/>
      <c r="AK193" s="4"/>
    </row>
    <row r="194" spans="1:37" x14ac:dyDescent="0.2">
      <c r="A194" s="14">
        <v>194</v>
      </c>
      <c r="C194" s="88"/>
      <c r="D194" s="88"/>
      <c r="E194" s="88"/>
      <c r="F194" s="88"/>
      <c r="G194" s="88"/>
      <c r="H194" s="88"/>
      <c r="I194" s="88"/>
      <c r="K194" s="117"/>
      <c r="L194" s="111"/>
      <c r="M194" s="121"/>
      <c r="N194" s="4"/>
      <c r="O194" s="88"/>
      <c r="P194" s="88"/>
      <c r="Q194" s="88"/>
      <c r="R194" s="88"/>
      <c r="S194" s="88"/>
      <c r="T194" s="88"/>
      <c r="U194" s="88"/>
      <c r="W194" s="119"/>
      <c r="X194" s="111"/>
      <c r="Y194" s="4"/>
      <c r="Z194" s="4"/>
      <c r="AA194" s="4"/>
      <c r="AB194" s="4"/>
      <c r="AC194" s="4"/>
      <c r="AD194" s="4"/>
      <c r="AE194" s="4"/>
      <c r="AF194" s="4"/>
      <c r="AG194" s="4"/>
      <c r="AI194" s="120"/>
      <c r="AJ194" s="111"/>
      <c r="AK194" s="4"/>
    </row>
    <row r="195" spans="1:37" x14ac:dyDescent="0.2">
      <c r="A195" s="14">
        <v>195</v>
      </c>
      <c r="C195" s="87" t="s">
        <v>940</v>
      </c>
      <c r="D195" s="88"/>
      <c r="E195" s="88"/>
      <c r="F195" s="88"/>
      <c r="G195" s="88"/>
      <c r="H195" s="88"/>
      <c r="I195" s="88"/>
      <c r="K195" s="117"/>
      <c r="L195" s="111"/>
      <c r="M195" s="121"/>
      <c r="N195" s="4"/>
      <c r="O195" s="87" t="s">
        <v>941</v>
      </c>
      <c r="P195" s="88"/>
      <c r="Q195" s="88"/>
      <c r="R195" s="88"/>
      <c r="S195" s="88"/>
      <c r="T195" s="88"/>
      <c r="U195" s="88"/>
      <c r="W195" s="119"/>
      <c r="X195" s="111"/>
      <c r="Y195" s="4"/>
      <c r="Z195" s="4"/>
      <c r="AA195" s="87" t="s">
        <v>942</v>
      </c>
      <c r="AB195" s="88"/>
      <c r="AC195" s="88"/>
      <c r="AD195" s="88"/>
      <c r="AE195" s="88"/>
      <c r="AF195" s="88"/>
      <c r="AG195" s="88"/>
      <c r="AI195" s="120"/>
      <c r="AJ195" s="111"/>
      <c r="AK195" s="4"/>
    </row>
    <row r="196" spans="1:37" x14ac:dyDescent="0.2">
      <c r="A196" s="14">
        <v>196</v>
      </c>
      <c r="C196" s="55" t="s">
        <v>3</v>
      </c>
      <c r="D196" s="55" t="s">
        <v>177</v>
      </c>
      <c r="E196" s="55" t="s">
        <v>178</v>
      </c>
      <c r="F196" s="55" t="s">
        <v>178</v>
      </c>
      <c r="G196" s="55" t="s">
        <v>9</v>
      </c>
      <c r="H196" s="55" t="s">
        <v>857</v>
      </c>
      <c r="I196" s="55" t="s">
        <v>854</v>
      </c>
      <c r="K196" s="56" t="s">
        <v>877</v>
      </c>
      <c r="L196" s="111"/>
      <c r="M196" s="121"/>
      <c r="N196" s="4"/>
      <c r="O196" s="55" t="s">
        <v>3</v>
      </c>
      <c r="P196" s="55" t="s">
        <v>177</v>
      </c>
      <c r="Q196" s="55" t="s">
        <v>178</v>
      </c>
      <c r="R196" s="55" t="s">
        <v>178</v>
      </c>
      <c r="S196" s="55" t="s">
        <v>9</v>
      </c>
      <c r="T196" s="55" t="s">
        <v>857</v>
      </c>
      <c r="U196" s="55" t="s">
        <v>854</v>
      </c>
      <c r="W196" s="56" t="s">
        <v>877</v>
      </c>
      <c r="X196" s="111"/>
      <c r="Y196" s="4"/>
      <c r="Z196" s="4"/>
      <c r="AA196" s="55" t="s">
        <v>3</v>
      </c>
      <c r="AB196" s="55" t="s">
        <v>177</v>
      </c>
      <c r="AC196" s="55" t="s">
        <v>178</v>
      </c>
      <c r="AD196" s="55" t="s">
        <v>178</v>
      </c>
      <c r="AE196" s="55" t="s">
        <v>9</v>
      </c>
      <c r="AF196" s="55" t="s">
        <v>857</v>
      </c>
      <c r="AG196" s="55" t="s">
        <v>854</v>
      </c>
      <c r="AI196" s="56" t="s">
        <v>877</v>
      </c>
      <c r="AJ196" s="111"/>
      <c r="AK196" s="4"/>
    </row>
    <row r="197" spans="1:37" x14ac:dyDescent="0.2">
      <c r="A197" s="14">
        <v>197</v>
      </c>
      <c r="C197" s="58"/>
      <c r="D197" s="125"/>
      <c r="E197" s="125"/>
      <c r="F197" s="125"/>
      <c r="G197" s="125"/>
      <c r="H197" s="125">
        <f>G197+1</f>
        <v>1</v>
      </c>
      <c r="I197" s="92">
        <f>H197+1</f>
        <v>2</v>
      </c>
      <c r="K197" s="122">
        <v>27</v>
      </c>
      <c r="L197" s="94"/>
      <c r="M197" s="123"/>
      <c r="N197" s="4"/>
      <c r="O197" s="101"/>
      <c r="P197" s="125">
        <f t="shared" ref="P197:U197" si="41">O197+1</f>
        <v>1</v>
      </c>
      <c r="Q197" s="125">
        <f t="shared" si="41"/>
        <v>2</v>
      </c>
      <c r="R197" s="125">
        <f t="shared" si="41"/>
        <v>3</v>
      </c>
      <c r="S197" s="125">
        <f t="shared" si="41"/>
        <v>4</v>
      </c>
      <c r="T197" s="125">
        <f t="shared" si="41"/>
        <v>5</v>
      </c>
      <c r="U197" s="92">
        <f t="shared" si="41"/>
        <v>6</v>
      </c>
      <c r="W197" s="100">
        <v>31</v>
      </c>
      <c r="X197" s="94"/>
      <c r="Y197" s="49"/>
      <c r="Z197" s="4"/>
      <c r="AA197" s="58"/>
      <c r="AB197" s="125"/>
      <c r="AC197" s="125"/>
      <c r="AD197" s="125"/>
      <c r="AE197" s="125">
        <f>AD197+1</f>
        <v>1</v>
      </c>
      <c r="AF197" s="125">
        <f>AE197+1</f>
        <v>2</v>
      </c>
      <c r="AG197" s="92">
        <f>AF197+1</f>
        <v>3</v>
      </c>
      <c r="AI197" s="100">
        <v>35</v>
      </c>
      <c r="AJ197" s="94"/>
      <c r="AK197" s="49"/>
    </row>
    <row r="198" spans="1:37" x14ac:dyDescent="0.2">
      <c r="A198" s="14">
        <v>198</v>
      </c>
      <c r="C198" s="101">
        <f>I197+1</f>
        <v>3</v>
      </c>
      <c r="D198" s="130">
        <f t="shared" ref="D198:I198" si="42">C198+1</f>
        <v>4</v>
      </c>
      <c r="E198" s="97">
        <f t="shared" si="42"/>
        <v>5</v>
      </c>
      <c r="F198" s="97">
        <f t="shared" si="42"/>
        <v>6</v>
      </c>
      <c r="G198" s="125">
        <f t="shared" si="42"/>
        <v>7</v>
      </c>
      <c r="H198" s="125">
        <f t="shared" si="42"/>
        <v>8</v>
      </c>
      <c r="I198" s="92">
        <f t="shared" si="42"/>
        <v>9</v>
      </c>
      <c r="K198" s="122">
        <v>28</v>
      </c>
      <c r="L198" s="103" t="s">
        <v>418</v>
      </c>
      <c r="M198" s="126">
        <v>5</v>
      </c>
      <c r="N198" s="4"/>
      <c r="O198" s="101">
        <f>U197+1</f>
        <v>7</v>
      </c>
      <c r="P198" s="125">
        <f t="shared" ref="P198:U198" si="43">O198+1</f>
        <v>8</v>
      </c>
      <c r="Q198" s="125">
        <f t="shared" si="43"/>
        <v>9</v>
      </c>
      <c r="R198" s="125">
        <f t="shared" si="43"/>
        <v>10</v>
      </c>
      <c r="S198" s="125">
        <f t="shared" si="43"/>
        <v>11</v>
      </c>
      <c r="T198" s="125">
        <f t="shared" si="43"/>
        <v>12</v>
      </c>
      <c r="U198" s="92">
        <f t="shared" si="43"/>
        <v>13</v>
      </c>
      <c r="W198" s="100">
        <v>32</v>
      </c>
      <c r="X198" s="103" t="s">
        <v>418</v>
      </c>
      <c r="Y198" s="106">
        <v>4</v>
      </c>
      <c r="Z198" s="4"/>
      <c r="AA198" s="101">
        <f>AG197+1</f>
        <v>4</v>
      </c>
      <c r="AB198" s="125">
        <f t="shared" ref="AB198:AG198" si="44">AA198+1</f>
        <v>5</v>
      </c>
      <c r="AC198" s="125">
        <f t="shared" si="44"/>
        <v>6</v>
      </c>
      <c r="AD198" s="125">
        <f t="shared" si="44"/>
        <v>7</v>
      </c>
      <c r="AE198" s="125">
        <f t="shared" si="44"/>
        <v>8</v>
      </c>
      <c r="AF198" s="125">
        <f t="shared" si="44"/>
        <v>9</v>
      </c>
      <c r="AG198" s="92">
        <f t="shared" si="44"/>
        <v>10</v>
      </c>
      <c r="AI198" s="100">
        <v>36</v>
      </c>
      <c r="AJ198" s="103" t="s">
        <v>418</v>
      </c>
      <c r="AK198" s="106">
        <v>4</v>
      </c>
    </row>
    <row r="199" spans="1:37" x14ac:dyDescent="0.2">
      <c r="A199" s="14">
        <v>199</v>
      </c>
      <c r="C199" s="101">
        <f>I198+1</f>
        <v>10</v>
      </c>
      <c r="D199" s="125">
        <f t="shared" ref="D199:I199" si="45">C199+1</f>
        <v>11</v>
      </c>
      <c r="E199" s="125">
        <f t="shared" si="45"/>
        <v>12</v>
      </c>
      <c r="F199" s="125">
        <f t="shared" si="45"/>
        <v>13</v>
      </c>
      <c r="G199" s="125">
        <f t="shared" si="45"/>
        <v>14</v>
      </c>
      <c r="H199" s="125">
        <f t="shared" si="45"/>
        <v>15</v>
      </c>
      <c r="I199" s="92">
        <f t="shared" si="45"/>
        <v>16</v>
      </c>
      <c r="K199" s="122">
        <v>29</v>
      </c>
      <c r="L199" s="103" t="s">
        <v>425</v>
      </c>
      <c r="M199" s="126">
        <v>5</v>
      </c>
      <c r="N199" s="4"/>
      <c r="O199" s="101">
        <f>U198+1</f>
        <v>14</v>
      </c>
      <c r="P199" s="125">
        <f t="shared" ref="P199:U199" si="46">O199+1</f>
        <v>15</v>
      </c>
      <c r="Q199" s="125">
        <f t="shared" si="46"/>
        <v>16</v>
      </c>
      <c r="R199" s="125">
        <f t="shared" si="46"/>
        <v>17</v>
      </c>
      <c r="S199" s="125">
        <f t="shared" si="46"/>
        <v>18</v>
      </c>
      <c r="T199" s="125">
        <f t="shared" si="46"/>
        <v>19</v>
      </c>
      <c r="U199" s="92">
        <f t="shared" si="46"/>
        <v>20</v>
      </c>
      <c r="W199" s="100">
        <v>33</v>
      </c>
      <c r="X199" s="103" t="s">
        <v>425</v>
      </c>
      <c r="Y199" s="106">
        <v>4</v>
      </c>
      <c r="Z199" s="4"/>
      <c r="AA199" s="101">
        <f>AG198+1</f>
        <v>11</v>
      </c>
      <c r="AB199" s="125">
        <f t="shared" ref="AB199:AG199" si="47">AA199+1</f>
        <v>12</v>
      </c>
      <c r="AC199" s="125">
        <f t="shared" si="47"/>
        <v>13</v>
      </c>
      <c r="AD199" s="125">
        <f t="shared" si="47"/>
        <v>14</v>
      </c>
      <c r="AE199" s="125">
        <f t="shared" si="47"/>
        <v>15</v>
      </c>
      <c r="AF199" s="125">
        <f t="shared" si="47"/>
        <v>16</v>
      </c>
      <c r="AG199" s="92">
        <f t="shared" si="47"/>
        <v>17</v>
      </c>
      <c r="AI199" s="100">
        <v>37</v>
      </c>
      <c r="AJ199" s="103" t="s">
        <v>425</v>
      </c>
      <c r="AK199" s="106">
        <v>4</v>
      </c>
    </row>
    <row r="200" spans="1:37" x14ac:dyDescent="0.2">
      <c r="A200" s="14">
        <v>200</v>
      </c>
      <c r="C200" s="101">
        <f>I199+1</f>
        <v>17</v>
      </c>
      <c r="D200" s="125">
        <f t="shared" ref="D200:I200" si="48">C200+1</f>
        <v>18</v>
      </c>
      <c r="E200" s="125">
        <f t="shared" si="48"/>
        <v>19</v>
      </c>
      <c r="F200" s="125">
        <f t="shared" si="48"/>
        <v>20</v>
      </c>
      <c r="G200" s="134">
        <f t="shared" si="48"/>
        <v>21</v>
      </c>
      <c r="H200" s="124">
        <f t="shared" si="48"/>
        <v>22</v>
      </c>
      <c r="I200" s="92">
        <f t="shared" si="48"/>
        <v>23</v>
      </c>
      <c r="K200" s="122">
        <v>30</v>
      </c>
      <c r="L200" s="103" t="s">
        <v>878</v>
      </c>
      <c r="M200" s="126">
        <v>31</v>
      </c>
      <c r="N200" s="4"/>
      <c r="O200" s="101">
        <f>U199+1</f>
        <v>21</v>
      </c>
      <c r="P200" s="125">
        <f t="shared" ref="P200:U200" si="49">O200+1</f>
        <v>22</v>
      </c>
      <c r="Q200" s="125">
        <f t="shared" si="49"/>
        <v>23</v>
      </c>
      <c r="R200" s="125">
        <f t="shared" si="49"/>
        <v>24</v>
      </c>
      <c r="S200" s="125">
        <f t="shared" si="49"/>
        <v>25</v>
      </c>
      <c r="T200" s="125">
        <f t="shared" si="49"/>
        <v>26</v>
      </c>
      <c r="U200" s="92">
        <f t="shared" si="49"/>
        <v>27</v>
      </c>
      <c r="W200" s="100">
        <v>34</v>
      </c>
      <c r="X200" s="103" t="s">
        <v>878</v>
      </c>
      <c r="Y200" s="106">
        <v>31</v>
      </c>
      <c r="Z200" s="4"/>
      <c r="AA200" s="101">
        <f>AG199+1</f>
        <v>18</v>
      </c>
      <c r="AB200" s="125">
        <f t="shared" ref="AB200:AG200" si="50">AA200+1</f>
        <v>19</v>
      </c>
      <c r="AC200" s="125">
        <f t="shared" si="50"/>
        <v>20</v>
      </c>
      <c r="AD200" s="125">
        <f t="shared" si="50"/>
        <v>21</v>
      </c>
      <c r="AE200" s="125">
        <f t="shared" si="50"/>
        <v>22</v>
      </c>
      <c r="AF200" s="125">
        <f t="shared" si="50"/>
        <v>23</v>
      </c>
      <c r="AG200" s="92">
        <f t="shared" si="50"/>
        <v>24</v>
      </c>
      <c r="AI200" s="100">
        <v>38</v>
      </c>
      <c r="AJ200" s="103" t="s">
        <v>878</v>
      </c>
      <c r="AK200" s="106">
        <v>30</v>
      </c>
    </row>
    <row r="201" spans="1:37" x14ac:dyDescent="0.2">
      <c r="A201" s="14">
        <v>201</v>
      </c>
      <c r="C201" s="101">
        <f>I200+1</f>
        <v>24</v>
      </c>
      <c r="D201" s="134">
        <f t="shared" ref="D201:I201" si="51">C201+1</f>
        <v>25</v>
      </c>
      <c r="E201" s="125">
        <f t="shared" si="51"/>
        <v>26</v>
      </c>
      <c r="F201" s="125">
        <f t="shared" si="51"/>
        <v>27</v>
      </c>
      <c r="G201" s="125">
        <f t="shared" si="51"/>
        <v>28</v>
      </c>
      <c r="H201" s="125">
        <f t="shared" si="51"/>
        <v>29</v>
      </c>
      <c r="I201" s="92">
        <f t="shared" si="51"/>
        <v>30</v>
      </c>
      <c r="K201" s="122">
        <v>31</v>
      </c>
      <c r="L201" s="111"/>
      <c r="M201" s="127"/>
      <c r="N201" s="4"/>
      <c r="O201" s="101">
        <f>U200+1</f>
        <v>28</v>
      </c>
      <c r="P201" s="125">
        <f>O201+1</f>
        <v>29</v>
      </c>
      <c r="Q201" s="125">
        <f>P201+1</f>
        <v>30</v>
      </c>
      <c r="R201" s="125">
        <v>31</v>
      </c>
      <c r="S201" s="125"/>
      <c r="T201" s="125"/>
      <c r="U201" s="92"/>
      <c r="W201" s="100">
        <v>35</v>
      </c>
      <c r="X201" s="111"/>
      <c r="Y201" s="112"/>
      <c r="Z201" s="4"/>
      <c r="AA201" s="101">
        <f>AG200+1</f>
        <v>25</v>
      </c>
      <c r="AB201" s="125">
        <f>AA201+1</f>
        <v>26</v>
      </c>
      <c r="AC201" s="125">
        <f>AB201+1</f>
        <v>27</v>
      </c>
      <c r="AD201" s="125">
        <f>AC201+1</f>
        <v>28</v>
      </c>
      <c r="AE201" s="125">
        <f>AD201+1</f>
        <v>29</v>
      </c>
      <c r="AF201" s="125">
        <v>30</v>
      </c>
      <c r="AG201" s="92"/>
      <c r="AI201" s="100">
        <v>39</v>
      </c>
      <c r="AJ201" s="111"/>
      <c r="AK201" s="112"/>
    </row>
    <row r="202" spans="1:37" x14ac:dyDescent="0.2">
      <c r="A202" s="14">
        <v>202</v>
      </c>
      <c r="C202" s="101">
        <v>31</v>
      </c>
      <c r="D202" s="125"/>
      <c r="E202" s="129"/>
      <c r="F202" s="129"/>
      <c r="G202" s="129"/>
      <c r="H202" s="129"/>
      <c r="I202" s="114"/>
      <c r="K202" s="122"/>
      <c r="L202" s="111"/>
      <c r="M202" s="121"/>
      <c r="N202" s="4"/>
      <c r="O202" s="101"/>
      <c r="P202" s="125"/>
      <c r="Q202" s="125"/>
      <c r="R202" s="125"/>
      <c r="S202" s="125"/>
      <c r="T202" s="125"/>
      <c r="U202" s="92"/>
      <c r="W202" s="100"/>
      <c r="X202" s="111"/>
      <c r="Y202" s="4"/>
      <c r="Z202" s="4"/>
      <c r="AA202" s="101"/>
      <c r="AB202" s="125"/>
      <c r="AC202" s="129"/>
      <c r="AD202" s="129"/>
      <c r="AE202" s="129"/>
      <c r="AF202" s="129"/>
      <c r="AG202" s="114"/>
      <c r="AI202" s="116"/>
      <c r="AJ202" s="111"/>
      <c r="AK202" s="4"/>
    </row>
    <row r="203" spans="1:37" x14ac:dyDescent="0.2">
      <c r="A203" s="14">
        <v>203</v>
      </c>
      <c r="C203" s="88"/>
      <c r="D203" s="88"/>
      <c r="E203" s="88"/>
      <c r="F203" s="88"/>
      <c r="G203" s="88"/>
      <c r="H203" s="88"/>
      <c r="I203" s="88"/>
      <c r="K203" s="117"/>
      <c r="L203" s="111"/>
      <c r="M203" s="121"/>
      <c r="N203" s="4"/>
      <c r="O203" s="88"/>
      <c r="P203" s="88"/>
      <c r="Q203" s="88"/>
      <c r="R203" s="88"/>
      <c r="S203" s="88"/>
      <c r="T203" s="88"/>
      <c r="U203" s="88"/>
      <c r="W203" s="119"/>
      <c r="X203" s="111"/>
      <c r="Y203" s="4"/>
      <c r="Z203" s="4"/>
      <c r="AA203" s="4"/>
      <c r="AB203" s="4"/>
      <c r="AC203" s="4"/>
      <c r="AD203" s="4"/>
      <c r="AE203" s="4"/>
      <c r="AF203" s="4"/>
      <c r="AG203" s="4"/>
      <c r="AI203" s="120"/>
      <c r="AJ203" s="111"/>
      <c r="AK203" s="4"/>
    </row>
    <row r="204" spans="1:37" x14ac:dyDescent="0.2">
      <c r="A204" s="14">
        <v>204</v>
      </c>
      <c r="C204" s="87" t="s">
        <v>943</v>
      </c>
      <c r="D204" s="88"/>
      <c r="E204" s="88"/>
      <c r="F204" s="88"/>
      <c r="G204" s="88"/>
      <c r="H204" s="88"/>
      <c r="I204" s="88"/>
      <c r="K204" s="117"/>
      <c r="L204" s="111"/>
      <c r="M204" s="121"/>
      <c r="N204" s="4"/>
      <c r="O204" s="87" t="s">
        <v>944</v>
      </c>
      <c r="P204" s="88"/>
      <c r="Q204" s="88"/>
      <c r="R204" s="88"/>
      <c r="S204" s="88"/>
      <c r="T204" s="88"/>
      <c r="U204" s="88"/>
      <c r="W204" s="119"/>
      <c r="X204" s="111"/>
      <c r="Y204" s="4"/>
      <c r="Z204" s="4"/>
      <c r="AA204" s="87" t="s">
        <v>945</v>
      </c>
      <c r="AB204" s="88"/>
      <c r="AC204" s="88"/>
      <c r="AD204" s="88"/>
      <c r="AE204" s="88"/>
      <c r="AF204" s="88"/>
      <c r="AG204" s="88"/>
      <c r="AI204" s="120"/>
      <c r="AJ204" s="111"/>
      <c r="AK204" s="4"/>
    </row>
    <row r="205" spans="1:37" x14ac:dyDescent="0.2">
      <c r="A205" s="14">
        <v>205</v>
      </c>
      <c r="C205" s="55" t="s">
        <v>3</v>
      </c>
      <c r="D205" s="55" t="s">
        <v>177</v>
      </c>
      <c r="E205" s="55" t="s">
        <v>178</v>
      </c>
      <c r="F205" s="55" t="s">
        <v>178</v>
      </c>
      <c r="G205" s="55" t="s">
        <v>9</v>
      </c>
      <c r="H205" s="55" t="s">
        <v>857</v>
      </c>
      <c r="I205" s="55" t="s">
        <v>854</v>
      </c>
      <c r="K205" s="56" t="s">
        <v>877</v>
      </c>
      <c r="L205" s="111"/>
      <c r="M205" s="121"/>
      <c r="N205" s="4"/>
      <c r="O205" s="55" t="s">
        <v>3</v>
      </c>
      <c r="P205" s="55" t="s">
        <v>177</v>
      </c>
      <c r="Q205" s="55" t="s">
        <v>178</v>
      </c>
      <c r="R205" s="55" t="s">
        <v>178</v>
      </c>
      <c r="S205" s="55" t="s">
        <v>9</v>
      </c>
      <c r="T205" s="55" t="s">
        <v>857</v>
      </c>
      <c r="U205" s="55" t="s">
        <v>854</v>
      </c>
      <c r="W205" s="56" t="s">
        <v>877</v>
      </c>
      <c r="X205" s="111"/>
      <c r="Y205" s="4"/>
      <c r="Z205" s="4"/>
      <c r="AA205" s="55" t="s">
        <v>3</v>
      </c>
      <c r="AB205" s="55" t="s">
        <v>177</v>
      </c>
      <c r="AC205" s="55" t="s">
        <v>178</v>
      </c>
      <c r="AD205" s="55" t="s">
        <v>178</v>
      </c>
      <c r="AE205" s="55" t="s">
        <v>9</v>
      </c>
      <c r="AF205" s="55" t="s">
        <v>857</v>
      </c>
      <c r="AG205" s="55" t="s">
        <v>854</v>
      </c>
      <c r="AI205" s="56" t="s">
        <v>877</v>
      </c>
      <c r="AJ205" s="111"/>
      <c r="AK205" s="4"/>
    </row>
    <row r="206" spans="1:37" x14ac:dyDescent="0.2">
      <c r="A206" s="14">
        <v>206</v>
      </c>
      <c r="C206" s="58"/>
      <c r="D206" s="125"/>
      <c r="E206" s="125"/>
      <c r="F206" s="125"/>
      <c r="G206" s="125"/>
      <c r="H206" s="125"/>
      <c r="I206" s="92">
        <f>H206+1</f>
        <v>1</v>
      </c>
      <c r="K206" s="122">
        <v>39</v>
      </c>
      <c r="L206" s="94"/>
      <c r="M206" s="123"/>
      <c r="N206" s="4"/>
      <c r="O206" s="101"/>
      <c r="P206" s="125"/>
      <c r="Q206" s="125">
        <f>P206+1</f>
        <v>1</v>
      </c>
      <c r="R206" s="125">
        <f>Q206+1</f>
        <v>2</v>
      </c>
      <c r="S206" s="125">
        <f>R206+1</f>
        <v>3</v>
      </c>
      <c r="T206" s="125">
        <f>S206+1</f>
        <v>4</v>
      </c>
      <c r="U206" s="92">
        <f>T206+1</f>
        <v>5</v>
      </c>
      <c r="W206" s="100">
        <v>44</v>
      </c>
      <c r="X206" s="94"/>
      <c r="Y206" s="49"/>
      <c r="Z206" s="4"/>
      <c r="AA206" s="58"/>
      <c r="AB206" s="125"/>
      <c r="AC206" s="125"/>
      <c r="AD206" s="125"/>
      <c r="AE206" s="125">
        <f>AD206+1</f>
        <v>1</v>
      </c>
      <c r="AF206" s="125">
        <f>AE206+1</f>
        <v>2</v>
      </c>
      <c r="AG206" s="92">
        <f>AF206+1</f>
        <v>3</v>
      </c>
      <c r="AI206" s="100">
        <v>48</v>
      </c>
      <c r="AJ206" s="94"/>
      <c r="AK206" s="152"/>
    </row>
    <row r="207" spans="1:37" x14ac:dyDescent="0.2">
      <c r="A207" s="14">
        <v>207</v>
      </c>
      <c r="C207" s="101">
        <f>I206+1</f>
        <v>2</v>
      </c>
      <c r="D207" s="125">
        <f t="shared" ref="D207:I207" si="52">C207+1</f>
        <v>3</v>
      </c>
      <c r="E207" s="125">
        <f t="shared" si="52"/>
        <v>4</v>
      </c>
      <c r="F207" s="125">
        <f t="shared" si="52"/>
        <v>5</v>
      </c>
      <c r="G207" s="125">
        <f t="shared" si="52"/>
        <v>6</v>
      </c>
      <c r="H207" s="125">
        <f t="shared" si="52"/>
        <v>7</v>
      </c>
      <c r="I207" s="92">
        <f t="shared" si="52"/>
        <v>8</v>
      </c>
      <c r="K207" s="122">
        <v>40</v>
      </c>
      <c r="L207" s="103" t="s">
        <v>418</v>
      </c>
      <c r="M207" s="126">
        <v>5</v>
      </c>
      <c r="N207" s="4"/>
      <c r="O207" s="101">
        <f>U206+1</f>
        <v>6</v>
      </c>
      <c r="P207" s="125">
        <f t="shared" ref="P207:U207" si="53">O207+1</f>
        <v>7</v>
      </c>
      <c r="Q207" s="125">
        <f t="shared" si="53"/>
        <v>8</v>
      </c>
      <c r="R207" s="125">
        <f t="shared" si="53"/>
        <v>9</v>
      </c>
      <c r="S207" s="125">
        <f t="shared" si="53"/>
        <v>10</v>
      </c>
      <c r="T207" s="125">
        <f t="shared" si="53"/>
        <v>11</v>
      </c>
      <c r="U207" s="92">
        <f t="shared" si="53"/>
        <v>12</v>
      </c>
      <c r="W207" s="100">
        <v>45</v>
      </c>
      <c r="X207" s="103" t="s">
        <v>418</v>
      </c>
      <c r="Y207" s="106">
        <v>4</v>
      </c>
      <c r="Z207" s="4"/>
      <c r="AA207" s="101">
        <f>AG206+1</f>
        <v>4</v>
      </c>
      <c r="AB207" s="125">
        <f t="shared" ref="AB207:AG207" si="54">AA207+1</f>
        <v>5</v>
      </c>
      <c r="AC207" s="125">
        <f t="shared" si="54"/>
        <v>6</v>
      </c>
      <c r="AD207" s="125">
        <f t="shared" si="54"/>
        <v>7</v>
      </c>
      <c r="AE207" s="125">
        <f t="shared" si="54"/>
        <v>8</v>
      </c>
      <c r="AF207" s="125">
        <f t="shared" si="54"/>
        <v>9</v>
      </c>
      <c r="AG207" s="92">
        <f t="shared" si="54"/>
        <v>10</v>
      </c>
      <c r="AI207" s="100">
        <v>49</v>
      </c>
      <c r="AJ207" s="103" t="s">
        <v>418</v>
      </c>
      <c r="AK207" s="106">
        <v>4</v>
      </c>
    </row>
    <row r="208" spans="1:37" x14ac:dyDescent="0.2">
      <c r="A208" s="14">
        <v>208</v>
      </c>
      <c r="C208" s="101">
        <f>I207+1</f>
        <v>9</v>
      </c>
      <c r="D208" s="124">
        <f t="shared" ref="D208:I208" si="55">C208+1</f>
        <v>10</v>
      </c>
      <c r="E208" s="131">
        <f t="shared" si="55"/>
        <v>11</v>
      </c>
      <c r="F208" s="125">
        <f t="shared" si="55"/>
        <v>12</v>
      </c>
      <c r="G208" s="125">
        <f t="shared" si="55"/>
        <v>13</v>
      </c>
      <c r="H208" s="125">
        <f t="shared" si="55"/>
        <v>14</v>
      </c>
      <c r="I208" s="92">
        <f t="shared" si="55"/>
        <v>15</v>
      </c>
      <c r="K208" s="122">
        <v>41</v>
      </c>
      <c r="L208" s="103" t="s">
        <v>425</v>
      </c>
      <c r="M208" s="126">
        <v>5</v>
      </c>
      <c r="N208" s="4"/>
      <c r="O208" s="101">
        <f>U207+1</f>
        <v>13</v>
      </c>
      <c r="P208" s="125">
        <f t="shared" ref="P208:U208" si="56">O208+1</f>
        <v>14</v>
      </c>
      <c r="Q208" s="125">
        <f t="shared" si="56"/>
        <v>15</v>
      </c>
      <c r="R208" s="125">
        <f t="shared" si="56"/>
        <v>16</v>
      </c>
      <c r="S208" s="125">
        <f t="shared" si="56"/>
        <v>17</v>
      </c>
      <c r="T208" s="125">
        <f t="shared" si="56"/>
        <v>18</v>
      </c>
      <c r="U208" s="92">
        <f t="shared" si="56"/>
        <v>19</v>
      </c>
      <c r="W208" s="100">
        <v>46</v>
      </c>
      <c r="X208" s="103" t="s">
        <v>425</v>
      </c>
      <c r="Y208" s="106">
        <v>4</v>
      </c>
      <c r="Z208" s="4"/>
      <c r="AA208" s="101">
        <f>AG207+1</f>
        <v>11</v>
      </c>
      <c r="AB208" s="125">
        <f t="shared" ref="AB208:AG208" si="57">AA208+1</f>
        <v>12</v>
      </c>
      <c r="AC208" s="125">
        <f t="shared" si="57"/>
        <v>13</v>
      </c>
      <c r="AD208" s="125">
        <f t="shared" si="57"/>
        <v>14</v>
      </c>
      <c r="AE208" s="125">
        <f t="shared" si="57"/>
        <v>15</v>
      </c>
      <c r="AF208" s="125">
        <f t="shared" si="57"/>
        <v>16</v>
      </c>
      <c r="AG208" s="92">
        <f t="shared" si="57"/>
        <v>17</v>
      </c>
      <c r="AI208" s="100">
        <v>50</v>
      </c>
      <c r="AJ208" s="103" t="s">
        <v>425</v>
      </c>
      <c r="AK208" s="106">
        <v>5</v>
      </c>
    </row>
    <row r="209" spans="1:37" x14ac:dyDescent="0.2">
      <c r="A209" s="14">
        <v>209</v>
      </c>
      <c r="C209" s="101">
        <f>I208+1</f>
        <v>16</v>
      </c>
      <c r="D209" s="125">
        <f t="shared" ref="D209:I209" si="58">C209+1</f>
        <v>17</v>
      </c>
      <c r="E209" s="125">
        <f t="shared" si="58"/>
        <v>18</v>
      </c>
      <c r="F209" s="125">
        <f t="shared" si="58"/>
        <v>19</v>
      </c>
      <c r="G209" s="125">
        <f t="shared" si="58"/>
        <v>20</v>
      </c>
      <c r="H209" s="125">
        <f t="shared" si="58"/>
        <v>21</v>
      </c>
      <c r="I209" s="92">
        <f t="shared" si="58"/>
        <v>22</v>
      </c>
      <c r="K209" s="122">
        <v>42</v>
      </c>
      <c r="L209" s="103" t="s">
        <v>878</v>
      </c>
      <c r="M209" s="126">
        <v>31</v>
      </c>
      <c r="N209" s="4"/>
      <c r="O209" s="101">
        <f>U208+1</f>
        <v>20</v>
      </c>
      <c r="P209" s="125">
        <f t="shared" ref="P209:U209" si="59">O209+1</f>
        <v>21</v>
      </c>
      <c r="Q209" s="125">
        <f t="shared" si="59"/>
        <v>22</v>
      </c>
      <c r="R209" s="125">
        <f t="shared" si="59"/>
        <v>23</v>
      </c>
      <c r="S209" s="125">
        <f t="shared" si="59"/>
        <v>24</v>
      </c>
      <c r="T209" s="125">
        <f t="shared" si="59"/>
        <v>25</v>
      </c>
      <c r="U209" s="92">
        <f t="shared" si="59"/>
        <v>26</v>
      </c>
      <c r="W209" s="100">
        <v>47</v>
      </c>
      <c r="X209" s="103" t="s">
        <v>878</v>
      </c>
      <c r="Y209" s="106">
        <v>30</v>
      </c>
      <c r="Z209" s="4"/>
      <c r="AA209" s="101">
        <f>AG208+1</f>
        <v>18</v>
      </c>
      <c r="AB209" s="125">
        <f t="shared" ref="AB209:AG209" si="60">AA209+1</f>
        <v>19</v>
      </c>
      <c r="AC209" s="125">
        <f t="shared" si="60"/>
        <v>20</v>
      </c>
      <c r="AD209" s="125">
        <f t="shared" si="60"/>
        <v>21</v>
      </c>
      <c r="AE209" s="125">
        <f t="shared" si="60"/>
        <v>22</v>
      </c>
      <c r="AF209" s="124">
        <f t="shared" si="60"/>
        <v>23</v>
      </c>
      <c r="AG209" s="92">
        <f t="shared" si="60"/>
        <v>24</v>
      </c>
      <c r="AI209" s="100">
        <v>51</v>
      </c>
      <c r="AJ209" s="103" t="s">
        <v>878</v>
      </c>
      <c r="AK209" s="106">
        <v>31</v>
      </c>
    </row>
    <row r="210" spans="1:37" x14ac:dyDescent="0.2">
      <c r="A210" s="14">
        <v>210</v>
      </c>
      <c r="C210" s="101">
        <f>I209+1</f>
        <v>23</v>
      </c>
      <c r="D210" s="125">
        <f t="shared" ref="D210:I210" si="61">C210+1</f>
        <v>24</v>
      </c>
      <c r="E210" s="125">
        <f t="shared" si="61"/>
        <v>25</v>
      </c>
      <c r="F210" s="125">
        <f t="shared" si="61"/>
        <v>26</v>
      </c>
      <c r="G210" s="125">
        <f t="shared" si="61"/>
        <v>27</v>
      </c>
      <c r="H210" s="125">
        <f t="shared" si="61"/>
        <v>28</v>
      </c>
      <c r="I210" s="92">
        <f t="shared" si="61"/>
        <v>29</v>
      </c>
      <c r="K210" s="122">
        <v>43</v>
      </c>
      <c r="L210" s="4"/>
      <c r="M210" s="112"/>
      <c r="N210" s="4"/>
      <c r="O210" s="101">
        <f>U209+1</f>
        <v>27</v>
      </c>
      <c r="P210" s="125">
        <f>O210+1</f>
        <v>28</v>
      </c>
      <c r="Q210" s="125">
        <f>P210+1</f>
        <v>29</v>
      </c>
      <c r="R210" s="125">
        <v>30</v>
      </c>
      <c r="S210" s="125"/>
      <c r="T210" s="125"/>
      <c r="U210" s="92"/>
      <c r="W210" s="100">
        <v>48</v>
      </c>
      <c r="X210" s="111"/>
      <c r="Y210" s="112"/>
      <c r="Z210" s="4"/>
      <c r="AA210" s="101">
        <f>AG209+1</f>
        <v>25</v>
      </c>
      <c r="AB210" s="125">
        <f>AA210+1</f>
        <v>26</v>
      </c>
      <c r="AC210" s="125">
        <f>AB210+1</f>
        <v>27</v>
      </c>
      <c r="AD210" s="125">
        <f>AC210+1</f>
        <v>28</v>
      </c>
      <c r="AE210" s="125">
        <f>AD210+1</f>
        <v>29</v>
      </c>
      <c r="AF210" s="125">
        <f>AE210+1</f>
        <v>30</v>
      </c>
      <c r="AG210" s="92">
        <v>31</v>
      </c>
      <c r="AI210" s="100">
        <v>52</v>
      </c>
      <c r="AJ210" s="111"/>
      <c r="AK210" s="4"/>
    </row>
    <row r="211" spans="1:37" x14ac:dyDescent="0.2">
      <c r="A211" s="14">
        <v>211</v>
      </c>
      <c r="C211" s="101">
        <f>I210+1</f>
        <v>30</v>
      </c>
      <c r="D211" s="125">
        <v>31</v>
      </c>
      <c r="E211" s="125"/>
      <c r="F211" s="129"/>
      <c r="G211" s="129"/>
      <c r="H211" s="129"/>
      <c r="I211" s="114"/>
      <c r="K211" s="122">
        <v>44</v>
      </c>
      <c r="L211" s="4"/>
      <c r="M211" s="4"/>
      <c r="N211" s="4"/>
      <c r="O211" s="101"/>
      <c r="P211" s="125"/>
      <c r="Q211" s="129"/>
      <c r="R211" s="129"/>
      <c r="S211" s="129"/>
      <c r="T211" s="129"/>
      <c r="U211" s="114"/>
      <c r="V211" s="133"/>
      <c r="W211" s="100"/>
      <c r="X211" s="4"/>
      <c r="Y211" s="4"/>
      <c r="Z211" s="4"/>
      <c r="AA211" s="101"/>
      <c r="AB211" s="125"/>
      <c r="AC211" s="129"/>
      <c r="AD211" s="129"/>
      <c r="AE211" s="129"/>
      <c r="AF211" s="129"/>
      <c r="AG211" s="114"/>
      <c r="AI211" s="116"/>
      <c r="AJ211" s="4"/>
      <c r="AK211" s="4"/>
    </row>
    <row r="212" spans="1:37" x14ac:dyDescent="0.2">
      <c r="A212" s="14">
        <v>212</v>
      </c>
      <c r="C212" s="88"/>
      <c r="D212" s="88"/>
      <c r="E212" s="88"/>
      <c r="F212" s="88"/>
      <c r="G212" s="88"/>
      <c r="H212" s="88"/>
      <c r="I212" s="8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88"/>
      <c r="AB212" s="88"/>
      <c r="AC212" s="88"/>
      <c r="AD212" s="88"/>
      <c r="AE212" s="88"/>
      <c r="AF212" s="88"/>
      <c r="AG212" s="88"/>
      <c r="AH212" s="4"/>
      <c r="AI212" s="4"/>
      <c r="AJ212" s="4"/>
      <c r="AK212" s="4"/>
    </row>
    <row r="213" spans="1:37" ht="12.75" x14ac:dyDescent="0.2">
      <c r="A213" s="14">
        <v>213</v>
      </c>
      <c r="C213" s="157"/>
      <c r="D213" s="141"/>
      <c r="E213" s="141"/>
      <c r="F213" s="141"/>
      <c r="G213" s="141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1"/>
      <c r="S213" s="140"/>
      <c r="T213" s="140"/>
      <c r="U213" s="140"/>
      <c r="V213" s="140"/>
      <c r="W213" s="140"/>
      <c r="X213" s="142" t="s">
        <v>933</v>
      </c>
      <c r="Y213" s="141"/>
      <c r="Z213" s="4"/>
      <c r="AA213" s="88"/>
      <c r="AB213" s="88"/>
      <c r="AC213" s="88"/>
      <c r="AD213" s="88"/>
      <c r="AH213" s="153" t="s">
        <v>888</v>
      </c>
      <c r="AI213" s="144">
        <f>(M180+Y180+AK180+M189+Y189+AK189+M198+Y198+AK198+M207+Y207+AK207)</f>
        <v>52</v>
      </c>
    </row>
    <row r="214" spans="1:37" x14ac:dyDescent="0.2">
      <c r="A214" s="14">
        <v>214</v>
      </c>
      <c r="Z214" s="4"/>
      <c r="AA214" s="88"/>
      <c r="AB214" s="88"/>
      <c r="AC214" s="88"/>
      <c r="AD214" s="88"/>
      <c r="AH214" s="153" t="s">
        <v>889</v>
      </c>
      <c r="AI214" s="145">
        <f>(M181+Y181+AK181+M190+Y190+AK190+M199+Y199+AK199+M208+Y208+AK208)</f>
        <v>53</v>
      </c>
    </row>
    <row r="215" spans="1:37" x14ac:dyDescent="0.2">
      <c r="A215" s="14">
        <v>215</v>
      </c>
      <c r="C215" s="135"/>
      <c r="H215" s="4"/>
      <c r="I215" s="4"/>
      <c r="J215" s="4"/>
      <c r="K215" s="4"/>
      <c r="L215" s="4"/>
      <c r="M215" s="4"/>
      <c r="N215" s="4"/>
      <c r="O215" s="4"/>
      <c r="P215" s="4"/>
      <c r="Q215" s="4"/>
      <c r="S215" s="4"/>
      <c r="T215" s="4"/>
      <c r="U215" s="4"/>
      <c r="V215" s="4"/>
      <c r="W215" s="4"/>
      <c r="Z215" s="4"/>
      <c r="AA215" s="88"/>
      <c r="AB215" s="88"/>
      <c r="AC215" s="88"/>
      <c r="AD215" s="88"/>
      <c r="AH215" s="153" t="s">
        <v>890</v>
      </c>
      <c r="AI215" s="154">
        <f>(M182+Y182+AK182+M191+Y191+AK191+M200+Y200+AK200+M209+Y209+AK209)</f>
        <v>365</v>
      </c>
      <c r="AJ215" s="147" t="str">
        <f>IF(AI215&gt;365,"BISIESTO","NORMAL")</f>
        <v>NORMAL</v>
      </c>
    </row>
    <row r="216" spans="1:37" x14ac:dyDescent="0.2">
      <c r="A216" s="14">
        <v>216</v>
      </c>
      <c r="C216" s="135"/>
      <c r="H216" s="4"/>
      <c r="I216" s="4"/>
      <c r="J216" s="4"/>
      <c r="K216" s="4"/>
      <c r="L216" s="4"/>
      <c r="M216" s="4"/>
      <c r="N216" s="4"/>
      <c r="O216" s="4"/>
      <c r="P216" s="4"/>
      <c r="Q216" s="4"/>
      <c r="S216" s="4"/>
      <c r="T216" s="4"/>
      <c r="U216" s="4"/>
      <c r="V216" s="4"/>
      <c r="W216" s="4"/>
      <c r="Z216" s="4"/>
      <c r="AA216" s="88"/>
      <c r="AB216" s="88"/>
      <c r="AC216" s="88"/>
      <c r="AD216" s="88"/>
      <c r="AH216" s="153" t="s">
        <v>892</v>
      </c>
      <c r="AI216" s="149">
        <v>52</v>
      </c>
    </row>
    <row r="217" spans="1:37" x14ac:dyDescent="0.2">
      <c r="A217" s="14">
        <v>217</v>
      </c>
    </row>
    <row r="218" spans="1:37" ht="12.75" x14ac:dyDescent="0.2">
      <c r="A218" s="14">
        <v>218</v>
      </c>
      <c r="C218" s="85" t="s">
        <v>946</v>
      </c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</row>
    <row r="219" spans="1:37" x14ac:dyDescent="0.2">
      <c r="A219" s="14">
        <v>219</v>
      </c>
    </row>
    <row r="220" spans="1:37" x14ac:dyDescent="0.2">
      <c r="A220" s="14">
        <v>220</v>
      </c>
      <c r="C220" s="87" t="s">
        <v>947</v>
      </c>
      <c r="D220" s="88"/>
      <c r="E220" s="88"/>
      <c r="F220" s="88"/>
      <c r="G220" s="88"/>
      <c r="H220" s="88"/>
      <c r="I220" s="88"/>
      <c r="J220" s="4"/>
      <c r="K220" s="4"/>
      <c r="L220" s="89"/>
      <c r="M220" s="90"/>
      <c r="N220" s="4"/>
      <c r="O220" s="87" t="s">
        <v>948</v>
      </c>
      <c r="P220" s="88"/>
      <c r="Q220" s="88"/>
      <c r="R220" s="88"/>
      <c r="S220" s="88"/>
      <c r="T220" s="88"/>
      <c r="U220" s="88"/>
      <c r="V220" s="4"/>
      <c r="W220" s="4"/>
      <c r="X220" s="4"/>
      <c r="Y220" s="4"/>
      <c r="Z220" s="4"/>
      <c r="AA220" s="87" t="s">
        <v>949</v>
      </c>
      <c r="AB220" s="88"/>
      <c r="AC220" s="88"/>
      <c r="AD220" s="88"/>
      <c r="AE220" s="88"/>
      <c r="AF220" s="88"/>
      <c r="AG220" s="88"/>
      <c r="AH220" s="4"/>
      <c r="AI220" s="4"/>
      <c r="AJ220" s="4"/>
      <c r="AK220" s="4"/>
    </row>
    <row r="221" spans="1:37" x14ac:dyDescent="0.2">
      <c r="A221" s="14">
        <v>221</v>
      </c>
      <c r="C221" s="55" t="s">
        <v>3</v>
      </c>
      <c r="D221" s="55" t="s">
        <v>177</v>
      </c>
      <c r="E221" s="55" t="s">
        <v>178</v>
      </c>
      <c r="F221" s="55" t="s">
        <v>178</v>
      </c>
      <c r="G221" s="55" t="s">
        <v>9</v>
      </c>
      <c r="H221" s="55" t="s">
        <v>857</v>
      </c>
      <c r="I221" s="55" t="s">
        <v>854</v>
      </c>
      <c r="K221" s="56" t="s">
        <v>877</v>
      </c>
      <c r="L221" s="4"/>
      <c r="M221" s="4"/>
      <c r="N221" s="4"/>
      <c r="O221" s="55" t="s">
        <v>3</v>
      </c>
      <c r="P221" s="55" t="s">
        <v>177</v>
      </c>
      <c r="Q221" s="55" t="s">
        <v>178</v>
      </c>
      <c r="R221" s="55" t="s">
        <v>178</v>
      </c>
      <c r="S221" s="55" t="s">
        <v>9</v>
      </c>
      <c r="T221" s="55" t="s">
        <v>857</v>
      </c>
      <c r="U221" s="55" t="s">
        <v>854</v>
      </c>
      <c r="W221" s="56" t="s">
        <v>877</v>
      </c>
      <c r="X221" s="4"/>
      <c r="Y221" s="57"/>
      <c r="Z221" s="4"/>
      <c r="AA221" s="55" t="s">
        <v>3</v>
      </c>
      <c r="AB221" s="55" t="s">
        <v>177</v>
      </c>
      <c r="AC221" s="55" t="s">
        <v>178</v>
      </c>
      <c r="AD221" s="55" t="s">
        <v>178</v>
      </c>
      <c r="AE221" s="55" t="s">
        <v>9</v>
      </c>
      <c r="AF221" s="55" t="s">
        <v>857</v>
      </c>
      <c r="AG221" s="55" t="s">
        <v>854</v>
      </c>
      <c r="AI221" s="56" t="s">
        <v>877</v>
      </c>
      <c r="AJ221" s="4"/>
      <c r="AK221" s="4"/>
    </row>
    <row r="222" spans="1:37" x14ac:dyDescent="0.2">
      <c r="A222" s="14">
        <v>222</v>
      </c>
      <c r="C222" s="58"/>
      <c r="D222" s="91"/>
      <c r="E222" s="156"/>
      <c r="F222" s="91"/>
      <c r="G222" s="102"/>
      <c r="H222" s="131"/>
      <c r="I222" s="92"/>
      <c r="K222" s="93">
        <v>1</v>
      </c>
      <c r="L222" s="94"/>
      <c r="M222" s="95"/>
      <c r="N222" s="96"/>
      <c r="O222" s="101"/>
      <c r="P222" s="91"/>
      <c r="Q222" s="91"/>
      <c r="R222" s="91">
        <f>Q222+1</f>
        <v>1</v>
      </c>
      <c r="S222" s="91">
        <f>R222+1</f>
        <v>2</v>
      </c>
      <c r="T222" s="91">
        <f>S222+1</f>
        <v>3</v>
      </c>
      <c r="U222" s="92">
        <f>T222+1</f>
        <v>4</v>
      </c>
      <c r="W222" s="98">
        <v>6</v>
      </c>
      <c r="X222" s="94"/>
      <c r="Y222" s="99"/>
      <c r="Z222" s="96"/>
      <c r="AA222" s="101"/>
      <c r="AB222" s="91"/>
      <c r="AC222" s="91"/>
      <c r="AD222" s="91"/>
      <c r="AE222" s="91">
        <f>AD222+1</f>
        <v>1</v>
      </c>
      <c r="AF222" s="91">
        <f>AE222+1</f>
        <v>2</v>
      </c>
      <c r="AG222" s="92">
        <f>AF222+1</f>
        <v>3</v>
      </c>
      <c r="AI222" s="100">
        <v>10</v>
      </c>
      <c r="AJ222" s="94"/>
      <c r="AK222" s="49"/>
    </row>
    <row r="223" spans="1:37" x14ac:dyDescent="0.2">
      <c r="A223" s="14">
        <v>223</v>
      </c>
      <c r="C223" s="101">
        <f>I222+1</f>
        <v>1</v>
      </c>
      <c r="D223" s="91">
        <f t="shared" ref="D223:I226" si="62">C223+1</f>
        <v>2</v>
      </c>
      <c r="E223" s="91">
        <f t="shared" si="62"/>
        <v>3</v>
      </c>
      <c r="F223" s="91">
        <f t="shared" si="62"/>
        <v>4</v>
      </c>
      <c r="G223" s="91">
        <f t="shared" si="62"/>
        <v>5</v>
      </c>
      <c r="H223" s="91">
        <f t="shared" si="62"/>
        <v>6</v>
      </c>
      <c r="I223" s="92">
        <f t="shared" si="62"/>
        <v>7</v>
      </c>
      <c r="K223" s="93">
        <v>2</v>
      </c>
      <c r="L223" s="103" t="s">
        <v>418</v>
      </c>
      <c r="M223" s="104">
        <v>5</v>
      </c>
      <c r="N223" s="96"/>
      <c r="O223" s="101">
        <f>U222+1</f>
        <v>5</v>
      </c>
      <c r="P223" s="91">
        <f t="shared" ref="P223:U223" si="63">O223+1</f>
        <v>6</v>
      </c>
      <c r="Q223" s="91">
        <f t="shared" si="63"/>
        <v>7</v>
      </c>
      <c r="R223" s="91">
        <f t="shared" si="63"/>
        <v>8</v>
      </c>
      <c r="S223" s="91">
        <f t="shared" si="63"/>
        <v>9</v>
      </c>
      <c r="T223" s="91">
        <f t="shared" si="63"/>
        <v>10</v>
      </c>
      <c r="U223" s="92">
        <f t="shared" si="63"/>
        <v>11</v>
      </c>
      <c r="W223" s="98">
        <v>7</v>
      </c>
      <c r="X223" s="103" t="s">
        <v>418</v>
      </c>
      <c r="Y223" s="105">
        <v>4</v>
      </c>
      <c r="Z223" s="96"/>
      <c r="AA223" s="101">
        <f>AG222+1</f>
        <v>4</v>
      </c>
      <c r="AB223" s="91">
        <f t="shared" ref="AB223:AG223" si="64">AA223+1</f>
        <v>5</v>
      </c>
      <c r="AC223" s="91">
        <f t="shared" si="64"/>
        <v>6</v>
      </c>
      <c r="AD223" s="91">
        <f t="shared" si="64"/>
        <v>7</v>
      </c>
      <c r="AE223" s="91">
        <f t="shared" si="64"/>
        <v>8</v>
      </c>
      <c r="AF223" s="91">
        <f t="shared" si="64"/>
        <v>9</v>
      </c>
      <c r="AG223" s="92">
        <f t="shared" si="64"/>
        <v>10</v>
      </c>
      <c r="AI223" s="100">
        <v>11</v>
      </c>
      <c r="AJ223" s="103" t="s">
        <v>418</v>
      </c>
      <c r="AK223" s="106">
        <v>4</v>
      </c>
    </row>
    <row r="224" spans="1:37" x14ac:dyDescent="0.2">
      <c r="A224" s="14">
        <v>224</v>
      </c>
      <c r="C224" s="101">
        <f>I223+1</f>
        <v>8</v>
      </c>
      <c r="D224" s="91">
        <f t="shared" si="62"/>
        <v>9</v>
      </c>
      <c r="E224" s="91">
        <f t="shared" si="62"/>
        <v>10</v>
      </c>
      <c r="F224" s="91">
        <f t="shared" si="62"/>
        <v>11</v>
      </c>
      <c r="G224" s="91">
        <f t="shared" si="62"/>
        <v>12</v>
      </c>
      <c r="H224" s="91">
        <f t="shared" si="62"/>
        <v>13</v>
      </c>
      <c r="I224" s="92">
        <f t="shared" si="62"/>
        <v>14</v>
      </c>
      <c r="K224" s="93">
        <v>3</v>
      </c>
      <c r="L224" s="103" t="s">
        <v>425</v>
      </c>
      <c r="M224" s="104">
        <v>4</v>
      </c>
      <c r="N224" s="96"/>
      <c r="O224" s="101">
        <f>U223+1</f>
        <v>12</v>
      </c>
      <c r="P224" s="91">
        <f t="shared" ref="P224:U224" si="65">O224+1</f>
        <v>13</v>
      </c>
      <c r="Q224" s="91">
        <f t="shared" si="65"/>
        <v>14</v>
      </c>
      <c r="R224" s="91">
        <f t="shared" si="65"/>
        <v>15</v>
      </c>
      <c r="S224" s="91">
        <f t="shared" si="65"/>
        <v>16</v>
      </c>
      <c r="T224" s="91">
        <f t="shared" si="65"/>
        <v>17</v>
      </c>
      <c r="U224" s="92">
        <f t="shared" si="65"/>
        <v>18</v>
      </c>
      <c r="W224" s="98">
        <v>8</v>
      </c>
      <c r="X224" s="103" t="s">
        <v>425</v>
      </c>
      <c r="Y224" s="105">
        <v>4</v>
      </c>
      <c r="Z224" s="96"/>
      <c r="AA224" s="101">
        <f>AG223+1</f>
        <v>11</v>
      </c>
      <c r="AB224" s="91">
        <f t="shared" ref="AB224:AG224" si="66">AA224+1</f>
        <v>12</v>
      </c>
      <c r="AC224" s="91">
        <f t="shared" si="66"/>
        <v>13</v>
      </c>
      <c r="AD224" s="91">
        <f t="shared" si="66"/>
        <v>14</v>
      </c>
      <c r="AE224" s="91">
        <f t="shared" si="66"/>
        <v>15</v>
      </c>
      <c r="AF224" s="91">
        <f t="shared" si="66"/>
        <v>16</v>
      </c>
      <c r="AG224" s="92">
        <f t="shared" si="66"/>
        <v>17</v>
      </c>
      <c r="AI224" s="100">
        <v>12</v>
      </c>
      <c r="AJ224" s="103" t="s">
        <v>425</v>
      </c>
      <c r="AK224" s="106">
        <v>5</v>
      </c>
    </row>
    <row r="225" spans="1:37" x14ac:dyDescent="0.2">
      <c r="A225" s="14">
        <v>225</v>
      </c>
      <c r="C225" s="101">
        <f>I224+1</f>
        <v>15</v>
      </c>
      <c r="D225" s="91">
        <f t="shared" si="62"/>
        <v>16</v>
      </c>
      <c r="E225" s="91">
        <f t="shared" si="62"/>
        <v>17</v>
      </c>
      <c r="F225" s="91">
        <f t="shared" si="62"/>
        <v>18</v>
      </c>
      <c r="G225" s="91">
        <f t="shared" si="62"/>
        <v>19</v>
      </c>
      <c r="H225" s="91">
        <f t="shared" si="62"/>
        <v>20</v>
      </c>
      <c r="I225" s="92">
        <f t="shared" si="62"/>
        <v>21</v>
      </c>
      <c r="K225" s="93">
        <v>4</v>
      </c>
      <c r="L225" s="103" t="s">
        <v>878</v>
      </c>
      <c r="M225" s="104">
        <v>31</v>
      </c>
      <c r="N225" s="96"/>
      <c r="O225" s="101">
        <f>U224+1</f>
        <v>19</v>
      </c>
      <c r="P225" s="91">
        <f t="shared" ref="P225:U225" si="67">O225+1</f>
        <v>20</v>
      </c>
      <c r="Q225" s="91">
        <f t="shared" si="67"/>
        <v>21</v>
      </c>
      <c r="R225" s="91">
        <f t="shared" si="67"/>
        <v>22</v>
      </c>
      <c r="S225" s="91">
        <f t="shared" si="67"/>
        <v>23</v>
      </c>
      <c r="T225" s="91">
        <f t="shared" si="67"/>
        <v>24</v>
      </c>
      <c r="U225" s="92">
        <f t="shared" si="67"/>
        <v>25</v>
      </c>
      <c r="W225" s="98">
        <v>9</v>
      </c>
      <c r="X225" s="103" t="s">
        <v>878</v>
      </c>
      <c r="Y225" s="105">
        <v>29</v>
      </c>
      <c r="Z225" s="96"/>
      <c r="AA225" s="101">
        <f>AG224+1</f>
        <v>18</v>
      </c>
      <c r="AB225" s="91">
        <f t="shared" ref="AB225:AG225" si="68">AA225+1</f>
        <v>19</v>
      </c>
      <c r="AC225" s="91">
        <f t="shared" si="68"/>
        <v>20</v>
      </c>
      <c r="AD225" s="91">
        <f t="shared" si="68"/>
        <v>21</v>
      </c>
      <c r="AE225" s="124">
        <f t="shared" si="68"/>
        <v>22</v>
      </c>
      <c r="AF225" s="131">
        <f t="shared" si="68"/>
        <v>23</v>
      </c>
      <c r="AG225" s="92">
        <f t="shared" si="68"/>
        <v>24</v>
      </c>
      <c r="AI225" s="100">
        <v>13</v>
      </c>
      <c r="AJ225" s="103" t="s">
        <v>878</v>
      </c>
      <c r="AK225" s="106">
        <v>31</v>
      </c>
    </row>
    <row r="226" spans="1:37" x14ac:dyDescent="0.2">
      <c r="A226" s="14">
        <v>226</v>
      </c>
      <c r="C226" s="101">
        <f>I225+1</f>
        <v>22</v>
      </c>
      <c r="D226" s="91">
        <f t="shared" si="62"/>
        <v>23</v>
      </c>
      <c r="E226" s="91">
        <f t="shared" si="62"/>
        <v>24</v>
      </c>
      <c r="F226" s="91">
        <f t="shared" si="62"/>
        <v>25</v>
      </c>
      <c r="G226" s="91">
        <f t="shared" si="62"/>
        <v>26</v>
      </c>
      <c r="H226" s="91">
        <f t="shared" si="62"/>
        <v>27</v>
      </c>
      <c r="I226" s="92">
        <f t="shared" si="62"/>
        <v>28</v>
      </c>
      <c r="K226" s="93">
        <v>5</v>
      </c>
      <c r="L226" s="107"/>
      <c r="M226" s="108"/>
      <c r="N226" s="96"/>
      <c r="O226" s="101">
        <v>26</v>
      </c>
      <c r="P226" s="91">
        <v>27</v>
      </c>
      <c r="Q226" s="91">
        <v>28</v>
      </c>
      <c r="R226" s="91">
        <v>29</v>
      </c>
      <c r="S226" s="91"/>
      <c r="T226" s="91"/>
      <c r="U226" s="92"/>
      <c r="W226" s="98">
        <v>10</v>
      </c>
      <c r="X226" s="107"/>
      <c r="Y226" s="109"/>
      <c r="Z226" s="96"/>
      <c r="AA226" s="101">
        <f>AG225+1</f>
        <v>25</v>
      </c>
      <c r="AB226" s="91">
        <f>AA226+1</f>
        <v>26</v>
      </c>
      <c r="AC226" s="91">
        <f>AB226+1</f>
        <v>27</v>
      </c>
      <c r="AD226" s="134">
        <v>28</v>
      </c>
      <c r="AE226" s="91">
        <v>29</v>
      </c>
      <c r="AF226" s="91">
        <v>30</v>
      </c>
      <c r="AG226" s="92">
        <v>31</v>
      </c>
      <c r="AI226" s="100">
        <v>14</v>
      </c>
      <c r="AJ226" s="111"/>
      <c r="AK226" s="112"/>
    </row>
    <row r="227" spans="1:37" x14ac:dyDescent="0.2">
      <c r="A227" s="14">
        <v>227</v>
      </c>
      <c r="C227" s="101">
        <v>29</v>
      </c>
      <c r="D227" s="91">
        <v>30</v>
      </c>
      <c r="E227" s="91">
        <v>31</v>
      </c>
      <c r="F227" s="113"/>
      <c r="G227" s="113"/>
      <c r="H227" s="113"/>
      <c r="I227" s="114"/>
      <c r="K227" s="93">
        <v>6</v>
      </c>
      <c r="L227" s="107"/>
      <c r="M227" s="115"/>
      <c r="N227" s="96"/>
      <c r="O227" s="101"/>
      <c r="P227" s="91"/>
      <c r="Q227" s="113"/>
      <c r="R227" s="113"/>
      <c r="S227" s="113"/>
      <c r="T227" s="113"/>
      <c r="U227" s="114"/>
      <c r="W227" s="98"/>
      <c r="X227" s="107"/>
      <c r="Y227" s="96"/>
      <c r="Z227" s="96"/>
      <c r="AA227" s="101"/>
      <c r="AB227" s="91"/>
      <c r="AC227" s="113"/>
      <c r="AD227" s="113"/>
      <c r="AE227" s="113"/>
      <c r="AF227" s="113"/>
      <c r="AG227" s="114"/>
      <c r="AI227" s="100"/>
      <c r="AJ227" s="111"/>
      <c r="AK227" s="4"/>
    </row>
    <row r="228" spans="1:37" x14ac:dyDescent="0.2">
      <c r="A228" s="14">
        <v>228</v>
      </c>
      <c r="C228" s="88"/>
      <c r="D228" s="88"/>
      <c r="E228" s="88"/>
      <c r="F228" s="88"/>
      <c r="G228" s="88"/>
      <c r="H228" s="88"/>
      <c r="I228" s="88"/>
      <c r="K228" s="117"/>
      <c r="L228" s="111"/>
      <c r="M228" s="118"/>
      <c r="N228" s="4"/>
      <c r="O228" s="4"/>
      <c r="P228" s="4"/>
      <c r="Q228" s="4"/>
      <c r="R228" s="4"/>
      <c r="S228" s="4"/>
      <c r="T228" s="4"/>
      <c r="U228" s="4"/>
      <c r="W228" s="119"/>
      <c r="X228" s="111"/>
      <c r="Y228" s="4"/>
      <c r="Z228" s="4"/>
      <c r="AA228" s="4"/>
      <c r="AB228" s="4"/>
      <c r="AC228" s="4"/>
      <c r="AD228" s="4"/>
      <c r="AE228" s="4"/>
      <c r="AF228" s="4"/>
      <c r="AG228" s="4"/>
      <c r="AI228" s="120"/>
      <c r="AJ228" s="111"/>
      <c r="AK228" s="4"/>
    </row>
    <row r="229" spans="1:37" x14ac:dyDescent="0.2">
      <c r="A229" s="14">
        <v>229</v>
      </c>
      <c r="C229" s="87" t="s">
        <v>950</v>
      </c>
      <c r="D229" s="88"/>
      <c r="E229" s="88"/>
      <c r="F229" s="88"/>
      <c r="G229" s="88"/>
      <c r="H229" s="88"/>
      <c r="I229" s="88"/>
      <c r="K229" s="117"/>
      <c r="L229" s="111"/>
      <c r="M229" s="121"/>
      <c r="N229" s="4"/>
      <c r="O229" s="87" t="s">
        <v>951</v>
      </c>
      <c r="P229" s="88"/>
      <c r="Q229" s="88"/>
      <c r="R229" s="88"/>
      <c r="S229" s="88"/>
      <c r="T229" s="88"/>
      <c r="U229" s="88"/>
      <c r="W229" s="119"/>
      <c r="X229" s="111"/>
      <c r="Y229" s="4"/>
      <c r="Z229" s="4"/>
      <c r="AA229" s="87" t="s">
        <v>952</v>
      </c>
      <c r="AB229" s="88"/>
      <c r="AC229" s="88"/>
      <c r="AD229" s="88"/>
      <c r="AE229" s="88"/>
      <c r="AF229" s="88"/>
      <c r="AG229" s="88"/>
      <c r="AI229" s="120"/>
      <c r="AJ229" s="111"/>
      <c r="AK229" s="4"/>
    </row>
    <row r="230" spans="1:37" x14ac:dyDescent="0.2">
      <c r="A230" s="14">
        <v>230</v>
      </c>
      <c r="C230" s="55" t="s">
        <v>3</v>
      </c>
      <c r="D230" s="55" t="s">
        <v>177</v>
      </c>
      <c r="E230" s="55" t="s">
        <v>178</v>
      </c>
      <c r="F230" s="55" t="s">
        <v>178</v>
      </c>
      <c r="G230" s="55" t="s">
        <v>9</v>
      </c>
      <c r="H230" s="55" t="s">
        <v>857</v>
      </c>
      <c r="I230" s="55" t="s">
        <v>854</v>
      </c>
      <c r="K230" s="56" t="s">
        <v>877</v>
      </c>
      <c r="L230" s="111"/>
      <c r="M230" s="121"/>
      <c r="N230" s="4"/>
      <c r="O230" s="55" t="s">
        <v>3</v>
      </c>
      <c r="P230" s="55" t="s">
        <v>177</v>
      </c>
      <c r="Q230" s="55" t="s">
        <v>178</v>
      </c>
      <c r="R230" s="55" t="s">
        <v>178</v>
      </c>
      <c r="S230" s="55" t="s">
        <v>9</v>
      </c>
      <c r="T230" s="55" t="s">
        <v>857</v>
      </c>
      <c r="U230" s="55" t="s">
        <v>854</v>
      </c>
      <c r="W230" s="56" t="s">
        <v>877</v>
      </c>
      <c r="X230" s="111"/>
      <c r="Y230" s="4"/>
      <c r="Z230" s="4"/>
      <c r="AA230" s="55" t="s">
        <v>3</v>
      </c>
      <c r="AB230" s="55" t="s">
        <v>177</v>
      </c>
      <c r="AC230" s="55" t="s">
        <v>178</v>
      </c>
      <c r="AD230" s="55" t="s">
        <v>178</v>
      </c>
      <c r="AE230" s="55" t="s">
        <v>9</v>
      </c>
      <c r="AF230" s="55" t="s">
        <v>857</v>
      </c>
      <c r="AG230" s="55" t="s">
        <v>854</v>
      </c>
      <c r="AI230" s="56" t="s">
        <v>877</v>
      </c>
      <c r="AJ230" s="111"/>
      <c r="AK230" s="4"/>
    </row>
    <row r="231" spans="1:37" x14ac:dyDescent="0.2">
      <c r="A231" s="14">
        <v>231</v>
      </c>
      <c r="C231" s="58"/>
      <c r="D231" s="91"/>
      <c r="E231" s="91"/>
      <c r="F231" s="91"/>
      <c r="G231" s="131"/>
      <c r="H231" s="131"/>
      <c r="I231" s="92"/>
      <c r="K231" s="122">
        <v>14</v>
      </c>
      <c r="L231" s="94"/>
      <c r="M231" s="123"/>
      <c r="N231" s="4"/>
      <c r="O231" s="58"/>
      <c r="P231" s="97"/>
      <c r="Q231" s="125"/>
      <c r="R231" s="125"/>
      <c r="S231" s="125"/>
      <c r="T231" s="124"/>
      <c r="U231" s="92"/>
      <c r="W231" s="100">
        <v>18</v>
      </c>
      <c r="X231" s="94"/>
      <c r="Y231" s="49"/>
      <c r="Z231" s="4"/>
      <c r="AA231" s="101"/>
      <c r="AB231" s="125"/>
      <c r="AC231" s="125"/>
      <c r="AD231" s="125"/>
      <c r="AE231" s="125"/>
      <c r="AF231" s="125">
        <f>AE231+1</f>
        <v>1</v>
      </c>
      <c r="AG231" s="92">
        <f>AF231+1</f>
        <v>2</v>
      </c>
      <c r="AI231" s="100">
        <v>23</v>
      </c>
      <c r="AJ231" s="94"/>
      <c r="AK231" s="123"/>
    </row>
    <row r="232" spans="1:37" x14ac:dyDescent="0.2">
      <c r="A232" s="14">
        <v>232</v>
      </c>
      <c r="C232" s="101">
        <f>I231+1</f>
        <v>1</v>
      </c>
      <c r="D232" s="91">
        <f t="shared" ref="D232:I232" si="69">C232+1</f>
        <v>2</v>
      </c>
      <c r="E232" s="91">
        <f t="shared" si="69"/>
        <v>3</v>
      </c>
      <c r="F232" s="91">
        <f t="shared" si="69"/>
        <v>4</v>
      </c>
      <c r="G232" s="124">
        <f t="shared" si="69"/>
        <v>5</v>
      </c>
      <c r="H232" s="124">
        <f t="shared" si="69"/>
        <v>6</v>
      </c>
      <c r="I232" s="92">
        <f t="shared" si="69"/>
        <v>7</v>
      </c>
      <c r="K232" s="122">
        <v>15</v>
      </c>
      <c r="L232" s="103" t="s">
        <v>418</v>
      </c>
      <c r="M232" s="126">
        <v>5</v>
      </c>
      <c r="N232" s="4"/>
      <c r="O232" s="101"/>
      <c r="P232" s="125"/>
      <c r="Q232" s="125">
        <f>P232+1</f>
        <v>1</v>
      </c>
      <c r="R232" s="125">
        <f>Q232+1</f>
        <v>2</v>
      </c>
      <c r="S232" s="125">
        <f>R232+1</f>
        <v>3</v>
      </c>
      <c r="T232" s="125">
        <f>S232+1</f>
        <v>4</v>
      </c>
      <c r="U232" s="92">
        <f>T232+1</f>
        <v>5</v>
      </c>
      <c r="W232" s="100">
        <v>19</v>
      </c>
      <c r="X232" s="103" t="s">
        <v>418</v>
      </c>
      <c r="Y232" s="106">
        <v>4</v>
      </c>
      <c r="Z232" s="4"/>
      <c r="AA232" s="101">
        <f>AG231+1</f>
        <v>3</v>
      </c>
      <c r="AB232" s="125">
        <f t="shared" ref="AB232:AG232" si="70">AA232+1</f>
        <v>4</v>
      </c>
      <c r="AC232" s="125">
        <f t="shared" si="70"/>
        <v>5</v>
      </c>
      <c r="AD232" s="125">
        <f t="shared" si="70"/>
        <v>6</v>
      </c>
      <c r="AE232" s="125">
        <f t="shared" si="70"/>
        <v>7</v>
      </c>
      <c r="AF232" s="125">
        <f t="shared" si="70"/>
        <v>8</v>
      </c>
      <c r="AG232" s="92">
        <f t="shared" si="70"/>
        <v>9</v>
      </c>
      <c r="AI232" s="100">
        <v>24</v>
      </c>
      <c r="AJ232" s="103" t="s">
        <v>418</v>
      </c>
      <c r="AK232" s="106">
        <v>4</v>
      </c>
    </row>
    <row r="233" spans="1:37" x14ac:dyDescent="0.2">
      <c r="A233" s="14">
        <v>233</v>
      </c>
      <c r="C233" s="101">
        <f>I232+1</f>
        <v>8</v>
      </c>
      <c r="D233" s="91">
        <f t="shared" ref="D233:I233" si="71">C233+1</f>
        <v>9</v>
      </c>
      <c r="E233" s="91">
        <f t="shared" si="71"/>
        <v>10</v>
      </c>
      <c r="F233" s="91">
        <f t="shared" si="71"/>
        <v>11</v>
      </c>
      <c r="G233" s="91">
        <f t="shared" si="71"/>
        <v>12</v>
      </c>
      <c r="H233" s="91">
        <f t="shared" si="71"/>
        <v>13</v>
      </c>
      <c r="I233" s="92">
        <f t="shared" si="71"/>
        <v>14</v>
      </c>
      <c r="K233" s="122">
        <v>16</v>
      </c>
      <c r="L233" s="103" t="s">
        <v>425</v>
      </c>
      <c r="M233" s="126">
        <v>4</v>
      </c>
      <c r="N233" s="4"/>
      <c r="O233" s="101">
        <f>U232+1</f>
        <v>6</v>
      </c>
      <c r="P233" s="125">
        <f t="shared" ref="P233:U233" si="72">O233+1</f>
        <v>7</v>
      </c>
      <c r="Q233" s="125">
        <f t="shared" si="72"/>
        <v>8</v>
      </c>
      <c r="R233" s="125">
        <f t="shared" si="72"/>
        <v>9</v>
      </c>
      <c r="S233" s="125">
        <f t="shared" si="72"/>
        <v>10</v>
      </c>
      <c r="T233" s="125">
        <f t="shared" si="72"/>
        <v>11</v>
      </c>
      <c r="U233" s="92">
        <f t="shared" si="72"/>
        <v>12</v>
      </c>
      <c r="W233" s="100">
        <v>20</v>
      </c>
      <c r="X233" s="103" t="s">
        <v>425</v>
      </c>
      <c r="Y233" s="106">
        <v>4</v>
      </c>
      <c r="Z233" s="4"/>
      <c r="AA233" s="101">
        <f>AG232+1</f>
        <v>10</v>
      </c>
      <c r="AB233" s="125">
        <f t="shared" ref="AB233:AG233" si="73">AA233+1</f>
        <v>11</v>
      </c>
      <c r="AC233" s="125">
        <f t="shared" si="73"/>
        <v>12</v>
      </c>
      <c r="AD233" s="125">
        <f t="shared" si="73"/>
        <v>13</v>
      </c>
      <c r="AE233" s="125">
        <f t="shared" si="73"/>
        <v>14</v>
      </c>
      <c r="AF233" s="125">
        <f t="shared" si="73"/>
        <v>15</v>
      </c>
      <c r="AG233" s="92">
        <f t="shared" si="73"/>
        <v>16</v>
      </c>
      <c r="AI233" s="100">
        <v>25</v>
      </c>
      <c r="AJ233" s="103" t="s">
        <v>425</v>
      </c>
      <c r="AK233" s="106">
        <v>5</v>
      </c>
    </row>
    <row r="234" spans="1:37" x14ac:dyDescent="0.2">
      <c r="A234" s="14">
        <v>234</v>
      </c>
      <c r="C234" s="101">
        <f>I233+1</f>
        <v>15</v>
      </c>
      <c r="D234" s="131">
        <f t="shared" ref="D234:I234" si="74">C234+1</f>
        <v>16</v>
      </c>
      <c r="E234" s="97">
        <f t="shared" si="74"/>
        <v>17</v>
      </c>
      <c r="F234" s="97">
        <f t="shared" si="74"/>
        <v>18</v>
      </c>
      <c r="G234" s="91">
        <f t="shared" si="74"/>
        <v>19</v>
      </c>
      <c r="H234" s="91">
        <f t="shared" si="74"/>
        <v>20</v>
      </c>
      <c r="I234" s="92">
        <f t="shared" si="74"/>
        <v>21</v>
      </c>
      <c r="K234" s="122">
        <v>17</v>
      </c>
      <c r="L234" s="103" t="s">
        <v>878</v>
      </c>
      <c r="M234" s="126">
        <v>30</v>
      </c>
      <c r="N234" s="4"/>
      <c r="O234" s="101">
        <f>U233+1</f>
        <v>13</v>
      </c>
      <c r="P234" s="125">
        <f t="shared" ref="P234:U234" si="75">O234+1</f>
        <v>14</v>
      </c>
      <c r="Q234" s="125">
        <f t="shared" si="75"/>
        <v>15</v>
      </c>
      <c r="R234" s="125">
        <f t="shared" si="75"/>
        <v>16</v>
      </c>
      <c r="S234" s="125">
        <f t="shared" si="75"/>
        <v>17</v>
      </c>
      <c r="T234" s="125">
        <f t="shared" si="75"/>
        <v>18</v>
      </c>
      <c r="U234" s="92">
        <f t="shared" si="75"/>
        <v>19</v>
      </c>
      <c r="W234" s="100">
        <v>21</v>
      </c>
      <c r="X234" s="103" t="s">
        <v>878</v>
      </c>
      <c r="Y234" s="106">
        <v>31</v>
      </c>
      <c r="Z234" s="4"/>
      <c r="AA234" s="101">
        <f>AG233+1</f>
        <v>17</v>
      </c>
      <c r="AB234" s="125">
        <f t="shared" ref="AB234:AG234" si="76">AA234+1</f>
        <v>18</v>
      </c>
      <c r="AC234" s="97">
        <f t="shared" si="76"/>
        <v>19</v>
      </c>
      <c r="AD234" s="130">
        <f t="shared" si="76"/>
        <v>20</v>
      </c>
      <c r="AE234" s="130">
        <f t="shared" si="76"/>
        <v>21</v>
      </c>
      <c r="AF234" s="97">
        <f t="shared" si="76"/>
        <v>22</v>
      </c>
      <c r="AG234" s="92">
        <f t="shared" si="76"/>
        <v>23</v>
      </c>
      <c r="AI234" s="100">
        <v>26</v>
      </c>
      <c r="AJ234" s="103" t="s">
        <v>878</v>
      </c>
      <c r="AK234" s="106">
        <v>30</v>
      </c>
    </row>
    <row r="235" spans="1:37" x14ac:dyDescent="0.2">
      <c r="A235" s="14">
        <v>235</v>
      </c>
      <c r="C235" s="101">
        <f>I234+1</f>
        <v>22</v>
      </c>
      <c r="D235" s="91">
        <f>C235+1</f>
        <v>23</v>
      </c>
      <c r="E235" s="91">
        <f>D235+1</f>
        <v>24</v>
      </c>
      <c r="F235" s="91">
        <f>E235+1</f>
        <v>25</v>
      </c>
      <c r="G235" s="91">
        <f>F235+1</f>
        <v>26</v>
      </c>
      <c r="H235" s="91">
        <f>G235+1</f>
        <v>27</v>
      </c>
      <c r="I235" s="92">
        <v>28</v>
      </c>
      <c r="K235" s="122">
        <v>18</v>
      </c>
      <c r="L235" s="111"/>
      <c r="M235" s="127"/>
      <c r="N235" s="4"/>
      <c r="O235" s="101">
        <f>U234+1</f>
        <v>20</v>
      </c>
      <c r="P235" s="125">
        <f t="shared" ref="P235:U235" si="77">O235+1</f>
        <v>21</v>
      </c>
      <c r="Q235" s="125">
        <f t="shared" si="77"/>
        <v>22</v>
      </c>
      <c r="R235" s="125">
        <f t="shared" si="77"/>
        <v>23</v>
      </c>
      <c r="S235" s="125">
        <f t="shared" si="77"/>
        <v>24</v>
      </c>
      <c r="T235" s="125">
        <f t="shared" si="77"/>
        <v>25</v>
      </c>
      <c r="U235" s="92">
        <f t="shared" si="77"/>
        <v>26</v>
      </c>
      <c r="W235" s="100">
        <v>22</v>
      </c>
      <c r="X235" s="111"/>
      <c r="Y235" s="128"/>
      <c r="Z235" s="4"/>
      <c r="AA235" s="101">
        <f>AG234+1</f>
        <v>24</v>
      </c>
      <c r="AB235" s="125">
        <f>AA235+1</f>
        <v>25</v>
      </c>
      <c r="AC235" s="130">
        <f>AB235+1</f>
        <v>26</v>
      </c>
      <c r="AD235" s="125">
        <f>AC235+1</f>
        <v>27</v>
      </c>
      <c r="AE235" s="125">
        <v>28</v>
      </c>
      <c r="AF235" s="125">
        <v>29</v>
      </c>
      <c r="AG235" s="92">
        <v>30</v>
      </c>
      <c r="AI235" s="100">
        <v>27</v>
      </c>
      <c r="AJ235" s="111"/>
      <c r="AK235" s="112"/>
    </row>
    <row r="236" spans="1:37" x14ac:dyDescent="0.2">
      <c r="A236" s="14">
        <v>236</v>
      </c>
      <c r="C236" s="101">
        <v>29</v>
      </c>
      <c r="D236" s="91">
        <v>30</v>
      </c>
      <c r="E236" s="113"/>
      <c r="F236" s="113"/>
      <c r="G236" s="113"/>
      <c r="H236" s="113"/>
      <c r="I236" s="114"/>
      <c r="K236" s="122"/>
      <c r="L236" s="111"/>
      <c r="M236" s="121"/>
      <c r="N236" s="4"/>
      <c r="O236" s="101">
        <v>27</v>
      </c>
      <c r="P236" s="125">
        <f>O236+1</f>
        <v>28</v>
      </c>
      <c r="Q236" s="401">
        <v>29</v>
      </c>
      <c r="R236" s="401">
        <v>30</v>
      </c>
      <c r="S236" s="401">
        <v>31</v>
      </c>
      <c r="T236" s="129"/>
      <c r="U236" s="114"/>
      <c r="W236" s="100">
        <v>23</v>
      </c>
      <c r="X236" s="111"/>
      <c r="Y236" s="4"/>
      <c r="Z236" s="4"/>
      <c r="AA236" s="101"/>
      <c r="AB236" s="125"/>
      <c r="AC236" s="129"/>
      <c r="AD236" s="129"/>
      <c r="AE236" s="129"/>
      <c r="AF236" s="129"/>
      <c r="AG236" s="114"/>
      <c r="AI236" s="100"/>
      <c r="AJ236" s="111"/>
      <c r="AK236" s="4"/>
    </row>
    <row r="237" spans="1:37" x14ac:dyDescent="0.2">
      <c r="A237" s="14">
        <v>237</v>
      </c>
      <c r="C237" s="88"/>
      <c r="D237" s="88"/>
      <c r="E237" s="88"/>
      <c r="F237" s="88"/>
      <c r="G237" s="88"/>
      <c r="H237" s="88"/>
      <c r="I237" s="88"/>
      <c r="K237" s="117"/>
      <c r="L237" s="111"/>
      <c r="M237" s="121"/>
      <c r="N237" s="4"/>
      <c r="O237" s="88"/>
      <c r="P237" s="88"/>
      <c r="Q237" s="88"/>
      <c r="R237" s="88"/>
      <c r="S237" s="88"/>
      <c r="T237" s="88"/>
      <c r="U237" s="88"/>
      <c r="W237" s="119"/>
      <c r="X237" s="111"/>
      <c r="Y237" s="4"/>
      <c r="Z237" s="4"/>
      <c r="AA237" s="4"/>
      <c r="AB237" s="4"/>
      <c r="AC237" s="4"/>
      <c r="AD237" s="4"/>
      <c r="AE237" s="4"/>
      <c r="AF237" s="4"/>
      <c r="AG237" s="4"/>
      <c r="AI237" s="120"/>
      <c r="AJ237" s="111"/>
      <c r="AK237" s="4"/>
    </row>
    <row r="238" spans="1:37" x14ac:dyDescent="0.2">
      <c r="A238" s="14">
        <v>238</v>
      </c>
      <c r="C238" s="87" t="s">
        <v>953</v>
      </c>
      <c r="D238" s="88"/>
      <c r="E238" s="88"/>
      <c r="F238" s="88"/>
      <c r="G238" s="88"/>
      <c r="H238" s="88"/>
      <c r="I238" s="88"/>
      <c r="K238" s="117"/>
      <c r="L238" s="111"/>
      <c r="M238" s="121"/>
      <c r="N238" s="4"/>
      <c r="O238" s="87" t="s">
        <v>954</v>
      </c>
      <c r="P238" s="88"/>
      <c r="Q238" s="88"/>
      <c r="R238" s="88"/>
      <c r="S238" s="88"/>
      <c r="T238" s="88"/>
      <c r="U238" s="88"/>
      <c r="W238" s="119"/>
      <c r="X238" s="111"/>
      <c r="Y238" s="4"/>
      <c r="Z238" s="4"/>
      <c r="AA238" s="87" t="s">
        <v>955</v>
      </c>
      <c r="AB238" s="88"/>
      <c r="AC238" s="88"/>
      <c r="AD238" s="88"/>
      <c r="AE238" s="88"/>
      <c r="AF238" s="88"/>
      <c r="AG238" s="88"/>
      <c r="AI238" s="120"/>
      <c r="AJ238" s="111"/>
      <c r="AK238" s="4"/>
    </row>
    <row r="239" spans="1:37" x14ac:dyDescent="0.2">
      <c r="A239" s="14">
        <v>239</v>
      </c>
      <c r="C239" s="55" t="s">
        <v>3</v>
      </c>
      <c r="D239" s="55" t="s">
        <v>177</v>
      </c>
      <c r="E239" s="55" t="s">
        <v>178</v>
      </c>
      <c r="F239" s="55" t="s">
        <v>178</v>
      </c>
      <c r="G239" s="55" t="s">
        <v>9</v>
      </c>
      <c r="H239" s="55" t="s">
        <v>857</v>
      </c>
      <c r="I239" s="55" t="s">
        <v>854</v>
      </c>
      <c r="K239" s="56" t="s">
        <v>877</v>
      </c>
      <c r="L239" s="111"/>
      <c r="M239" s="121"/>
      <c r="N239" s="4"/>
      <c r="O239" s="55" t="s">
        <v>3</v>
      </c>
      <c r="P239" s="55" t="s">
        <v>177</v>
      </c>
      <c r="Q239" s="55" t="s">
        <v>178</v>
      </c>
      <c r="R239" s="55" t="s">
        <v>178</v>
      </c>
      <c r="S239" s="55" t="s">
        <v>9</v>
      </c>
      <c r="T239" s="55" t="s">
        <v>857</v>
      </c>
      <c r="U239" s="55" t="s">
        <v>854</v>
      </c>
      <c r="W239" s="56" t="s">
        <v>877</v>
      </c>
      <c r="X239" s="111"/>
      <c r="Y239" s="4"/>
      <c r="Z239" s="4"/>
      <c r="AA239" s="55" t="s">
        <v>3</v>
      </c>
      <c r="AB239" s="55" t="s">
        <v>177</v>
      </c>
      <c r="AC239" s="55" t="s">
        <v>178</v>
      </c>
      <c r="AD239" s="55" t="s">
        <v>178</v>
      </c>
      <c r="AE239" s="55" t="s">
        <v>9</v>
      </c>
      <c r="AF239" s="55" t="s">
        <v>857</v>
      </c>
      <c r="AG239" s="55" t="s">
        <v>854</v>
      </c>
      <c r="AI239" s="56" t="s">
        <v>877</v>
      </c>
      <c r="AJ239" s="111"/>
      <c r="AK239" s="4"/>
    </row>
    <row r="240" spans="1:37" x14ac:dyDescent="0.2">
      <c r="A240" s="14">
        <v>240</v>
      </c>
      <c r="C240" s="58"/>
      <c r="D240" s="125"/>
      <c r="E240" s="125"/>
      <c r="F240" s="125"/>
      <c r="G240" s="125"/>
      <c r="H240" s="125"/>
      <c r="I240" s="92"/>
      <c r="K240" s="122">
        <v>27</v>
      </c>
      <c r="L240" s="94"/>
      <c r="M240" s="123"/>
      <c r="N240" s="4"/>
      <c r="O240" s="101"/>
      <c r="P240" s="125"/>
      <c r="Q240" s="125"/>
      <c r="R240" s="125">
        <f>Q240+1</f>
        <v>1</v>
      </c>
      <c r="S240" s="125">
        <f>R240+1</f>
        <v>2</v>
      </c>
      <c r="T240" s="125">
        <f>S240+1</f>
        <v>3</v>
      </c>
      <c r="U240" s="92">
        <f>T240+1</f>
        <v>4</v>
      </c>
      <c r="W240" s="100">
        <v>31</v>
      </c>
      <c r="X240" s="94"/>
      <c r="Y240" s="49"/>
      <c r="Z240" s="4"/>
      <c r="AA240" s="58"/>
      <c r="AB240" s="125"/>
      <c r="AC240" s="125"/>
      <c r="AD240" s="125"/>
      <c r="AE240" s="125"/>
      <c r="AF240" s="125"/>
      <c r="AG240" s="92">
        <f>AF240+1</f>
        <v>1</v>
      </c>
      <c r="AI240" s="100">
        <v>35</v>
      </c>
      <c r="AJ240" s="94"/>
      <c r="AK240" s="49"/>
    </row>
    <row r="241" spans="1:37" x14ac:dyDescent="0.2">
      <c r="A241" s="14">
        <v>241</v>
      </c>
      <c r="C241" s="101">
        <f>I240+1</f>
        <v>1</v>
      </c>
      <c r="D241" s="130">
        <f t="shared" ref="D241:I241" si="78">C241+1</f>
        <v>2</v>
      </c>
      <c r="E241" s="97">
        <f t="shared" si="78"/>
        <v>3</v>
      </c>
      <c r="F241" s="97">
        <f t="shared" si="78"/>
        <v>4</v>
      </c>
      <c r="G241" s="125">
        <f t="shared" si="78"/>
        <v>5</v>
      </c>
      <c r="H241" s="125">
        <f t="shared" si="78"/>
        <v>6</v>
      </c>
      <c r="I241" s="92">
        <f t="shared" si="78"/>
        <v>7</v>
      </c>
      <c r="K241" s="122">
        <v>28</v>
      </c>
      <c r="L241" s="103" t="s">
        <v>418</v>
      </c>
      <c r="M241" s="126">
        <v>5</v>
      </c>
      <c r="N241" s="4"/>
      <c r="O241" s="101">
        <f>U240+1</f>
        <v>5</v>
      </c>
      <c r="P241" s="125">
        <f t="shared" ref="P241:U241" si="79">O241+1</f>
        <v>6</v>
      </c>
      <c r="Q241" s="125">
        <f t="shared" si="79"/>
        <v>7</v>
      </c>
      <c r="R241" s="125">
        <f t="shared" si="79"/>
        <v>8</v>
      </c>
      <c r="S241" s="125">
        <f t="shared" si="79"/>
        <v>9</v>
      </c>
      <c r="T241" s="125">
        <f t="shared" si="79"/>
        <v>10</v>
      </c>
      <c r="U241" s="92">
        <f t="shared" si="79"/>
        <v>11</v>
      </c>
      <c r="W241" s="100">
        <v>32</v>
      </c>
      <c r="X241" s="103" t="s">
        <v>418</v>
      </c>
      <c r="Y241" s="106">
        <v>4</v>
      </c>
      <c r="Z241" s="4"/>
      <c r="AA241" s="101">
        <f>AG240+1</f>
        <v>2</v>
      </c>
      <c r="AB241" s="125">
        <f t="shared" ref="AB241:AG241" si="80">AA241+1</f>
        <v>3</v>
      </c>
      <c r="AC241" s="125">
        <f t="shared" si="80"/>
        <v>4</v>
      </c>
      <c r="AD241" s="125">
        <f t="shared" si="80"/>
        <v>5</v>
      </c>
      <c r="AE241" s="125">
        <f t="shared" si="80"/>
        <v>6</v>
      </c>
      <c r="AF241" s="125">
        <f t="shared" si="80"/>
        <v>7</v>
      </c>
      <c r="AG241" s="92">
        <f t="shared" si="80"/>
        <v>8</v>
      </c>
      <c r="AI241" s="100">
        <v>36</v>
      </c>
      <c r="AJ241" s="103" t="s">
        <v>418</v>
      </c>
      <c r="AK241" s="106">
        <v>5</v>
      </c>
    </row>
    <row r="242" spans="1:37" x14ac:dyDescent="0.2">
      <c r="A242" s="14">
        <v>242</v>
      </c>
      <c r="C242" s="101">
        <f>I241+1</f>
        <v>8</v>
      </c>
      <c r="D242" s="125">
        <f t="shared" ref="D242:I242" si="81">C242+1</f>
        <v>9</v>
      </c>
      <c r="E242" s="125">
        <f t="shared" si="81"/>
        <v>10</v>
      </c>
      <c r="F242" s="125">
        <f t="shared" si="81"/>
        <v>11</v>
      </c>
      <c r="G242" s="125">
        <f t="shared" si="81"/>
        <v>12</v>
      </c>
      <c r="H242" s="125">
        <f t="shared" si="81"/>
        <v>13</v>
      </c>
      <c r="I242" s="92">
        <f t="shared" si="81"/>
        <v>14</v>
      </c>
      <c r="K242" s="122">
        <v>29</v>
      </c>
      <c r="L242" s="103" t="s">
        <v>425</v>
      </c>
      <c r="M242" s="126">
        <v>4</v>
      </c>
      <c r="N242" s="4"/>
      <c r="O242" s="101">
        <f>U241+1</f>
        <v>12</v>
      </c>
      <c r="P242" s="125">
        <f t="shared" ref="P242:U242" si="82">O242+1</f>
        <v>13</v>
      </c>
      <c r="Q242" s="125">
        <f t="shared" si="82"/>
        <v>14</v>
      </c>
      <c r="R242" s="125">
        <f t="shared" si="82"/>
        <v>15</v>
      </c>
      <c r="S242" s="125">
        <f t="shared" si="82"/>
        <v>16</v>
      </c>
      <c r="T242" s="125">
        <f t="shared" si="82"/>
        <v>17</v>
      </c>
      <c r="U242" s="92">
        <f t="shared" si="82"/>
        <v>18</v>
      </c>
      <c r="W242" s="100">
        <v>33</v>
      </c>
      <c r="X242" s="103" t="s">
        <v>425</v>
      </c>
      <c r="Y242" s="106">
        <v>4</v>
      </c>
      <c r="Z242" s="4"/>
      <c r="AA242" s="101">
        <f>AG241+1</f>
        <v>9</v>
      </c>
      <c r="AB242" s="125">
        <f t="shared" ref="AB242:AG242" si="83">AA242+1</f>
        <v>10</v>
      </c>
      <c r="AC242" s="125">
        <f t="shared" si="83"/>
        <v>11</v>
      </c>
      <c r="AD242" s="125">
        <f t="shared" si="83"/>
        <v>12</v>
      </c>
      <c r="AE242" s="125">
        <f t="shared" si="83"/>
        <v>13</v>
      </c>
      <c r="AF242" s="125">
        <f t="shared" si="83"/>
        <v>14</v>
      </c>
      <c r="AG242" s="92">
        <f t="shared" si="83"/>
        <v>15</v>
      </c>
      <c r="AI242" s="100">
        <v>37</v>
      </c>
      <c r="AJ242" s="103" t="s">
        <v>425</v>
      </c>
      <c r="AK242" s="106">
        <v>5</v>
      </c>
    </row>
    <row r="243" spans="1:37" x14ac:dyDescent="0.2">
      <c r="A243" s="14">
        <v>243</v>
      </c>
      <c r="C243" s="101">
        <f>I242+1</f>
        <v>15</v>
      </c>
      <c r="D243" s="125">
        <f t="shared" ref="D243:I243" si="84">C243+1</f>
        <v>16</v>
      </c>
      <c r="E243" s="125">
        <f t="shared" si="84"/>
        <v>17</v>
      </c>
      <c r="F243" s="125">
        <f t="shared" si="84"/>
        <v>18</v>
      </c>
      <c r="G243" s="134">
        <f t="shared" si="84"/>
        <v>19</v>
      </c>
      <c r="H243" s="124">
        <f t="shared" si="84"/>
        <v>20</v>
      </c>
      <c r="I243" s="92">
        <f t="shared" si="84"/>
        <v>21</v>
      </c>
      <c r="K243" s="122">
        <v>30</v>
      </c>
      <c r="L243" s="103" t="s">
        <v>878</v>
      </c>
      <c r="M243" s="126">
        <v>31</v>
      </c>
      <c r="N243" s="4"/>
      <c r="O243" s="101">
        <f>U242+1</f>
        <v>19</v>
      </c>
      <c r="P243" s="125">
        <f t="shared" ref="P243:U243" si="85">O243+1</f>
        <v>20</v>
      </c>
      <c r="Q243" s="125">
        <f t="shared" si="85"/>
        <v>21</v>
      </c>
      <c r="R243" s="125">
        <f t="shared" si="85"/>
        <v>22</v>
      </c>
      <c r="S243" s="125">
        <f t="shared" si="85"/>
        <v>23</v>
      </c>
      <c r="T243" s="125">
        <f t="shared" si="85"/>
        <v>24</v>
      </c>
      <c r="U243" s="92">
        <f t="shared" si="85"/>
        <v>25</v>
      </c>
      <c r="W243" s="100">
        <v>34</v>
      </c>
      <c r="X243" s="103" t="s">
        <v>878</v>
      </c>
      <c r="Y243" s="106">
        <v>31</v>
      </c>
      <c r="Z243" s="4"/>
      <c r="AA243" s="101">
        <f>AG242+1</f>
        <v>16</v>
      </c>
      <c r="AB243" s="125">
        <f t="shared" ref="AB243:AG243" si="86">AA243+1</f>
        <v>17</v>
      </c>
      <c r="AC243" s="125">
        <f t="shared" si="86"/>
        <v>18</v>
      </c>
      <c r="AD243" s="125">
        <f t="shared" si="86"/>
        <v>19</v>
      </c>
      <c r="AE243" s="125">
        <f t="shared" si="86"/>
        <v>20</v>
      </c>
      <c r="AF243" s="125">
        <f t="shared" si="86"/>
        <v>21</v>
      </c>
      <c r="AG243" s="92">
        <f t="shared" si="86"/>
        <v>22</v>
      </c>
      <c r="AI243" s="100">
        <v>38</v>
      </c>
      <c r="AJ243" s="103" t="s">
        <v>878</v>
      </c>
      <c r="AK243" s="106">
        <v>30</v>
      </c>
    </row>
    <row r="244" spans="1:37" x14ac:dyDescent="0.2">
      <c r="A244" s="14">
        <v>244</v>
      </c>
      <c r="C244" s="101">
        <f>I243+1</f>
        <v>22</v>
      </c>
      <c r="D244" s="134">
        <f t="shared" ref="D244:I244" si="87">C244+1</f>
        <v>23</v>
      </c>
      <c r="E244" s="125">
        <f t="shared" si="87"/>
        <v>24</v>
      </c>
      <c r="F244" s="125">
        <f t="shared" si="87"/>
        <v>25</v>
      </c>
      <c r="G244" s="125">
        <f t="shared" si="87"/>
        <v>26</v>
      </c>
      <c r="H244" s="125">
        <f t="shared" si="87"/>
        <v>27</v>
      </c>
      <c r="I244" s="92">
        <f t="shared" si="87"/>
        <v>28</v>
      </c>
      <c r="K244" s="122">
        <v>31</v>
      </c>
      <c r="L244" s="111"/>
      <c r="M244" s="127"/>
      <c r="N244" s="4"/>
      <c r="O244" s="101">
        <f>U243+1</f>
        <v>26</v>
      </c>
      <c r="P244" s="125">
        <f>O244+1</f>
        <v>27</v>
      </c>
      <c r="Q244" s="125">
        <f>P244+1</f>
        <v>28</v>
      </c>
      <c r="R244" s="125">
        <v>29</v>
      </c>
      <c r="S244" s="125">
        <v>30</v>
      </c>
      <c r="T244" s="125">
        <v>31</v>
      </c>
      <c r="U244" s="92"/>
      <c r="W244" s="100">
        <v>35</v>
      </c>
      <c r="X244" s="111"/>
      <c r="Y244" s="112"/>
      <c r="Z244" s="4"/>
      <c r="AA244" s="101">
        <f>AG243+1</f>
        <v>23</v>
      </c>
      <c r="AB244" s="125">
        <f>AA244+1</f>
        <v>24</v>
      </c>
      <c r="AC244" s="125">
        <f>AB244+1</f>
        <v>25</v>
      </c>
      <c r="AD244" s="125">
        <f>AC244+1</f>
        <v>26</v>
      </c>
      <c r="AE244" s="125">
        <f>AD244+1</f>
        <v>27</v>
      </c>
      <c r="AF244" s="125">
        <v>28</v>
      </c>
      <c r="AG244" s="92">
        <v>29</v>
      </c>
      <c r="AI244" s="100">
        <v>39</v>
      </c>
      <c r="AJ244" s="111"/>
      <c r="AK244" s="112"/>
    </row>
    <row r="245" spans="1:37" x14ac:dyDescent="0.2">
      <c r="A245" s="14">
        <v>245</v>
      </c>
      <c r="C245" s="101">
        <v>29</v>
      </c>
      <c r="D245" s="125">
        <v>30</v>
      </c>
      <c r="E245" s="401">
        <v>31</v>
      </c>
      <c r="F245" s="129"/>
      <c r="G245" s="129"/>
      <c r="H245" s="129"/>
      <c r="I245" s="114"/>
      <c r="K245" s="122"/>
      <c r="L245" s="111"/>
      <c r="M245" s="121"/>
      <c r="N245" s="4"/>
      <c r="O245" s="101"/>
      <c r="P245" s="125"/>
      <c r="Q245" s="125"/>
      <c r="R245" s="125"/>
      <c r="S245" s="125"/>
      <c r="T245" s="125"/>
      <c r="U245" s="92"/>
      <c r="W245" s="100"/>
      <c r="X245" s="111"/>
      <c r="Y245" s="4"/>
      <c r="Z245" s="4"/>
      <c r="AA245" s="101">
        <v>30</v>
      </c>
      <c r="AB245" s="125"/>
      <c r="AC245" s="129"/>
      <c r="AD245" s="129"/>
      <c r="AE245" s="129"/>
      <c r="AF245" s="129"/>
      <c r="AG245" s="114"/>
      <c r="AI245" s="116"/>
      <c r="AJ245" s="111"/>
      <c r="AK245" s="4"/>
    </row>
    <row r="246" spans="1:37" x14ac:dyDescent="0.2">
      <c r="A246" s="14">
        <v>246</v>
      </c>
      <c r="C246" s="88"/>
      <c r="D246" s="88"/>
      <c r="E246" s="88"/>
      <c r="F246" s="88"/>
      <c r="G246" s="88"/>
      <c r="H246" s="88"/>
      <c r="I246" s="88"/>
      <c r="K246" s="117"/>
      <c r="L246" s="111"/>
      <c r="M246" s="121"/>
      <c r="N246" s="4"/>
      <c r="O246" s="88"/>
      <c r="P246" s="88"/>
      <c r="Q246" s="88"/>
      <c r="R246" s="88"/>
      <c r="S246" s="88"/>
      <c r="T246" s="88"/>
      <c r="U246" s="88"/>
      <c r="W246" s="119"/>
      <c r="X246" s="111"/>
      <c r="Y246" s="4"/>
      <c r="Z246" s="4"/>
      <c r="AA246" s="4"/>
      <c r="AB246" s="4"/>
      <c r="AC246" s="4"/>
      <c r="AD246" s="4"/>
      <c r="AE246" s="4"/>
      <c r="AF246" s="4"/>
      <c r="AG246" s="4"/>
      <c r="AI246" s="120"/>
      <c r="AJ246" s="111"/>
      <c r="AK246" s="4"/>
    </row>
    <row r="247" spans="1:37" x14ac:dyDescent="0.2">
      <c r="A247" s="14">
        <v>247</v>
      </c>
      <c r="C247" s="87" t="s">
        <v>956</v>
      </c>
      <c r="D247" s="88"/>
      <c r="E247" s="88"/>
      <c r="F247" s="88"/>
      <c r="G247" s="88"/>
      <c r="H247" s="88"/>
      <c r="I247" s="88"/>
      <c r="K247" s="117"/>
      <c r="L247" s="111"/>
      <c r="M247" s="121"/>
      <c r="N247" s="4"/>
      <c r="O247" s="87" t="s">
        <v>957</v>
      </c>
      <c r="P247" s="88"/>
      <c r="Q247" s="88"/>
      <c r="R247" s="88"/>
      <c r="S247" s="88"/>
      <c r="T247" s="88"/>
      <c r="U247" s="88"/>
      <c r="W247" s="119"/>
      <c r="X247" s="111"/>
      <c r="Y247" s="4"/>
      <c r="Z247" s="4"/>
      <c r="AA247" s="87" t="s">
        <v>958</v>
      </c>
      <c r="AB247" s="88"/>
      <c r="AC247" s="88"/>
      <c r="AD247" s="88"/>
      <c r="AE247" s="88"/>
      <c r="AF247" s="88"/>
      <c r="AG247" s="88"/>
      <c r="AI247" s="120"/>
      <c r="AJ247" s="111"/>
      <c r="AK247" s="4"/>
    </row>
    <row r="248" spans="1:37" x14ac:dyDescent="0.2">
      <c r="A248" s="14">
        <v>248</v>
      </c>
      <c r="C248" s="55" t="s">
        <v>3</v>
      </c>
      <c r="D248" s="55" t="s">
        <v>177</v>
      </c>
      <c r="E248" s="55" t="s">
        <v>178</v>
      </c>
      <c r="F248" s="55" t="s">
        <v>178</v>
      </c>
      <c r="G248" s="55" t="s">
        <v>9</v>
      </c>
      <c r="H248" s="55" t="s">
        <v>857</v>
      </c>
      <c r="I248" s="55" t="s">
        <v>854</v>
      </c>
      <c r="K248" s="56" t="s">
        <v>877</v>
      </c>
      <c r="L248" s="111"/>
      <c r="M248" s="121"/>
      <c r="N248" s="4"/>
      <c r="O248" s="55" t="s">
        <v>3</v>
      </c>
      <c r="P248" s="55" t="s">
        <v>177</v>
      </c>
      <c r="Q248" s="55" t="s">
        <v>178</v>
      </c>
      <c r="R248" s="55" t="s">
        <v>178</v>
      </c>
      <c r="S248" s="55" t="s">
        <v>9</v>
      </c>
      <c r="T248" s="55" t="s">
        <v>857</v>
      </c>
      <c r="U248" s="55" t="s">
        <v>854</v>
      </c>
      <c r="W248" s="56" t="s">
        <v>877</v>
      </c>
      <c r="X248" s="111"/>
      <c r="Y248" s="4"/>
      <c r="Z248" s="4"/>
      <c r="AA248" s="55" t="s">
        <v>3</v>
      </c>
      <c r="AB248" s="55" t="s">
        <v>177</v>
      </c>
      <c r="AC248" s="55" t="s">
        <v>178</v>
      </c>
      <c r="AD248" s="55" t="s">
        <v>178</v>
      </c>
      <c r="AE248" s="55" t="s">
        <v>9</v>
      </c>
      <c r="AF248" s="55" t="s">
        <v>857</v>
      </c>
      <c r="AG248" s="55" t="s">
        <v>854</v>
      </c>
      <c r="AI248" s="56" t="s">
        <v>877</v>
      </c>
      <c r="AJ248" s="111"/>
      <c r="AK248" s="4"/>
    </row>
    <row r="249" spans="1:37" x14ac:dyDescent="0.2">
      <c r="A249" s="14">
        <v>249</v>
      </c>
      <c r="C249" s="58"/>
      <c r="D249" s="125"/>
      <c r="E249" s="125"/>
      <c r="F249" s="125"/>
      <c r="G249" s="125"/>
      <c r="H249" s="125"/>
      <c r="I249" s="92"/>
      <c r="K249" s="122">
        <v>39</v>
      </c>
      <c r="L249" s="94"/>
      <c r="M249" s="123"/>
      <c r="N249" s="4"/>
      <c r="O249" s="101"/>
      <c r="P249" s="125"/>
      <c r="Q249" s="125"/>
      <c r="R249" s="125"/>
      <c r="S249" s="125">
        <f>R249+1</f>
        <v>1</v>
      </c>
      <c r="T249" s="125">
        <f>S249+1</f>
        <v>2</v>
      </c>
      <c r="U249" s="92">
        <f>T249+1</f>
        <v>3</v>
      </c>
      <c r="W249" s="100">
        <v>44</v>
      </c>
      <c r="X249" s="94"/>
      <c r="Y249" s="49"/>
      <c r="Z249" s="4"/>
      <c r="AA249" s="58"/>
      <c r="AB249" s="125"/>
      <c r="AC249" s="125"/>
      <c r="AD249" s="125"/>
      <c r="AE249" s="125"/>
      <c r="AF249" s="125"/>
      <c r="AG249" s="92">
        <f>AF249+1</f>
        <v>1</v>
      </c>
      <c r="AI249" s="100">
        <v>48</v>
      </c>
      <c r="AJ249" s="94"/>
      <c r="AK249" s="152"/>
    </row>
    <row r="250" spans="1:37" x14ac:dyDescent="0.2">
      <c r="A250" s="14">
        <v>250</v>
      </c>
      <c r="C250" s="101"/>
      <c r="D250" s="125">
        <f t="shared" ref="D250:I250" si="88">C250+1</f>
        <v>1</v>
      </c>
      <c r="E250" s="125">
        <f t="shared" si="88"/>
        <v>2</v>
      </c>
      <c r="F250" s="125">
        <f t="shared" si="88"/>
        <v>3</v>
      </c>
      <c r="G250" s="125">
        <f t="shared" si="88"/>
        <v>4</v>
      </c>
      <c r="H250" s="125">
        <f t="shared" si="88"/>
        <v>5</v>
      </c>
      <c r="I250" s="92">
        <f t="shared" si="88"/>
        <v>6</v>
      </c>
      <c r="K250" s="122">
        <v>40</v>
      </c>
      <c r="L250" s="103" t="s">
        <v>418</v>
      </c>
      <c r="M250" s="126">
        <v>4</v>
      </c>
      <c r="N250" s="4"/>
      <c r="O250" s="101">
        <f>U249+1</f>
        <v>4</v>
      </c>
      <c r="P250" s="125">
        <f t="shared" ref="P250:U250" si="89">O250+1</f>
        <v>5</v>
      </c>
      <c r="Q250" s="125">
        <f t="shared" si="89"/>
        <v>6</v>
      </c>
      <c r="R250" s="125">
        <f t="shared" si="89"/>
        <v>7</v>
      </c>
      <c r="S250" s="125">
        <f t="shared" si="89"/>
        <v>8</v>
      </c>
      <c r="T250" s="125">
        <f t="shared" si="89"/>
        <v>9</v>
      </c>
      <c r="U250" s="92">
        <f t="shared" si="89"/>
        <v>10</v>
      </c>
      <c r="W250" s="100">
        <v>45</v>
      </c>
      <c r="X250" s="103" t="s">
        <v>418</v>
      </c>
      <c r="Y250" s="106">
        <v>4</v>
      </c>
      <c r="Z250" s="4"/>
      <c r="AA250" s="101">
        <f>AG249+1</f>
        <v>2</v>
      </c>
      <c r="AB250" s="125">
        <f t="shared" ref="AB250:AG250" si="90">AA250+1</f>
        <v>3</v>
      </c>
      <c r="AC250" s="125">
        <f t="shared" si="90"/>
        <v>4</v>
      </c>
      <c r="AD250" s="125">
        <f t="shared" si="90"/>
        <v>5</v>
      </c>
      <c r="AE250" s="125">
        <f t="shared" si="90"/>
        <v>6</v>
      </c>
      <c r="AF250" s="125">
        <f t="shared" si="90"/>
        <v>7</v>
      </c>
      <c r="AG250" s="92">
        <f t="shared" si="90"/>
        <v>8</v>
      </c>
      <c r="AI250" s="100">
        <v>49</v>
      </c>
      <c r="AJ250" s="103" t="s">
        <v>418</v>
      </c>
      <c r="AK250" s="106">
        <v>5</v>
      </c>
    </row>
    <row r="251" spans="1:37" x14ac:dyDescent="0.2">
      <c r="A251" s="14">
        <v>251</v>
      </c>
      <c r="C251" s="101">
        <f>I250+1</f>
        <v>7</v>
      </c>
      <c r="D251" s="124">
        <f t="shared" ref="D251:I251" si="91">C251+1</f>
        <v>8</v>
      </c>
      <c r="E251" s="131">
        <f t="shared" si="91"/>
        <v>9</v>
      </c>
      <c r="F251" s="125">
        <f t="shared" si="91"/>
        <v>10</v>
      </c>
      <c r="G251" s="125">
        <f t="shared" si="91"/>
        <v>11</v>
      </c>
      <c r="H251" s="125">
        <f t="shared" si="91"/>
        <v>12</v>
      </c>
      <c r="I251" s="92">
        <f t="shared" si="91"/>
        <v>13</v>
      </c>
      <c r="K251" s="122">
        <v>41</v>
      </c>
      <c r="L251" s="103" t="s">
        <v>425</v>
      </c>
      <c r="M251" s="126">
        <v>4</v>
      </c>
      <c r="N251" s="4"/>
      <c r="O251" s="101">
        <f>U250+1</f>
        <v>11</v>
      </c>
      <c r="P251" s="125">
        <f t="shared" ref="P251:U251" si="92">O251+1</f>
        <v>12</v>
      </c>
      <c r="Q251" s="125">
        <f t="shared" si="92"/>
        <v>13</v>
      </c>
      <c r="R251" s="125">
        <f t="shared" si="92"/>
        <v>14</v>
      </c>
      <c r="S251" s="125">
        <f t="shared" si="92"/>
        <v>15</v>
      </c>
      <c r="T251" s="125">
        <f t="shared" si="92"/>
        <v>16</v>
      </c>
      <c r="U251" s="92">
        <f t="shared" si="92"/>
        <v>17</v>
      </c>
      <c r="W251" s="100">
        <v>46</v>
      </c>
      <c r="X251" s="103" t="s">
        <v>425</v>
      </c>
      <c r="Y251" s="106">
        <v>4</v>
      </c>
      <c r="Z251" s="4"/>
      <c r="AA251" s="101">
        <f>AG250+1</f>
        <v>9</v>
      </c>
      <c r="AB251" s="125">
        <f t="shared" ref="AB251:AG251" si="93">AA251+1</f>
        <v>10</v>
      </c>
      <c r="AC251" s="125">
        <f t="shared" si="93"/>
        <v>11</v>
      </c>
      <c r="AD251" s="125">
        <f t="shared" si="93"/>
        <v>12</v>
      </c>
      <c r="AE251" s="125">
        <f t="shared" si="93"/>
        <v>13</v>
      </c>
      <c r="AF251" s="125">
        <f t="shared" si="93"/>
        <v>14</v>
      </c>
      <c r="AG251" s="92">
        <f t="shared" si="93"/>
        <v>15</v>
      </c>
      <c r="AI251" s="100">
        <v>50</v>
      </c>
      <c r="AJ251" s="103" t="s">
        <v>425</v>
      </c>
      <c r="AK251" s="106">
        <v>5</v>
      </c>
    </row>
    <row r="252" spans="1:37" x14ac:dyDescent="0.2">
      <c r="A252" s="14">
        <v>252</v>
      </c>
      <c r="C252" s="101">
        <f>I251+1</f>
        <v>14</v>
      </c>
      <c r="D252" s="125">
        <f t="shared" ref="D252:I252" si="94">C252+1</f>
        <v>15</v>
      </c>
      <c r="E252" s="125">
        <f t="shared" si="94"/>
        <v>16</v>
      </c>
      <c r="F252" s="125">
        <f t="shared" si="94"/>
        <v>17</v>
      </c>
      <c r="G252" s="125">
        <f t="shared" si="94"/>
        <v>18</v>
      </c>
      <c r="H252" s="125">
        <f t="shared" si="94"/>
        <v>19</v>
      </c>
      <c r="I252" s="92">
        <f t="shared" si="94"/>
        <v>20</v>
      </c>
      <c r="K252" s="122">
        <v>42</v>
      </c>
      <c r="L252" s="103" t="s">
        <v>878</v>
      </c>
      <c r="M252" s="126">
        <v>31</v>
      </c>
      <c r="N252" s="4"/>
      <c r="O252" s="101">
        <f>U251+1</f>
        <v>18</v>
      </c>
      <c r="P252" s="125">
        <f t="shared" ref="P252:U252" si="95">O252+1</f>
        <v>19</v>
      </c>
      <c r="Q252" s="125">
        <f t="shared" si="95"/>
        <v>20</v>
      </c>
      <c r="R252" s="125">
        <f t="shared" si="95"/>
        <v>21</v>
      </c>
      <c r="S252" s="125">
        <f t="shared" si="95"/>
        <v>22</v>
      </c>
      <c r="T252" s="125">
        <f t="shared" si="95"/>
        <v>23</v>
      </c>
      <c r="U252" s="92">
        <f t="shared" si="95"/>
        <v>24</v>
      </c>
      <c r="W252" s="100">
        <v>47</v>
      </c>
      <c r="X252" s="103" t="s">
        <v>878</v>
      </c>
      <c r="Y252" s="106">
        <v>30</v>
      </c>
      <c r="Z252" s="4"/>
      <c r="AA252" s="101">
        <f>AG251+1</f>
        <v>16</v>
      </c>
      <c r="AB252" s="125">
        <f t="shared" ref="AB252:AG252" si="96">AA252+1</f>
        <v>17</v>
      </c>
      <c r="AC252" s="125">
        <f t="shared" si="96"/>
        <v>18</v>
      </c>
      <c r="AD252" s="125">
        <f t="shared" si="96"/>
        <v>19</v>
      </c>
      <c r="AE252" s="125">
        <f t="shared" si="96"/>
        <v>20</v>
      </c>
      <c r="AF252" s="124">
        <f t="shared" si="96"/>
        <v>21</v>
      </c>
      <c r="AG252" s="92">
        <f t="shared" si="96"/>
        <v>22</v>
      </c>
      <c r="AI252" s="100">
        <v>51</v>
      </c>
      <c r="AJ252" s="103" t="s">
        <v>878</v>
      </c>
      <c r="AK252" s="106">
        <v>31</v>
      </c>
    </row>
    <row r="253" spans="1:37" x14ac:dyDescent="0.2">
      <c r="A253" s="14">
        <v>253</v>
      </c>
      <c r="C253" s="101">
        <f>I252+1</f>
        <v>21</v>
      </c>
      <c r="D253" s="125">
        <f t="shared" ref="D253:I253" si="97">C253+1</f>
        <v>22</v>
      </c>
      <c r="E253" s="125">
        <f t="shared" si="97"/>
        <v>23</v>
      </c>
      <c r="F253" s="125">
        <f t="shared" si="97"/>
        <v>24</v>
      </c>
      <c r="G253" s="125">
        <f t="shared" si="97"/>
        <v>25</v>
      </c>
      <c r="H253" s="125">
        <f t="shared" si="97"/>
        <v>26</v>
      </c>
      <c r="I253" s="92">
        <f t="shared" si="97"/>
        <v>27</v>
      </c>
      <c r="K253" s="122">
        <v>43</v>
      </c>
      <c r="L253" s="4"/>
      <c r="M253" s="112"/>
      <c r="N253" s="4"/>
      <c r="O253" s="101">
        <f>U252+1</f>
        <v>25</v>
      </c>
      <c r="P253" s="125">
        <f>O253+1</f>
        <v>26</v>
      </c>
      <c r="Q253" s="125">
        <f>P253+1</f>
        <v>27</v>
      </c>
      <c r="R253" s="125">
        <v>28</v>
      </c>
      <c r="S253" s="125">
        <v>29</v>
      </c>
      <c r="T253" s="125">
        <v>30</v>
      </c>
      <c r="U253" s="92"/>
      <c r="W253" s="100">
        <v>48</v>
      </c>
      <c r="X253" s="111"/>
      <c r="Y253" s="112"/>
      <c r="Z253" s="4"/>
      <c r="AA253" s="101">
        <f>AG252+1</f>
        <v>23</v>
      </c>
      <c r="AB253" s="125">
        <f>AA253+1</f>
        <v>24</v>
      </c>
      <c r="AC253" s="125">
        <f>AB253+1</f>
        <v>25</v>
      </c>
      <c r="AD253" s="125">
        <f>AC253+1</f>
        <v>26</v>
      </c>
      <c r="AE253" s="125">
        <f>AD253+1</f>
        <v>27</v>
      </c>
      <c r="AF253" s="125">
        <f>AE253+1</f>
        <v>28</v>
      </c>
      <c r="AG253" s="92">
        <v>29</v>
      </c>
      <c r="AI253" s="100">
        <v>52</v>
      </c>
      <c r="AJ253" s="111"/>
      <c r="AK253" s="4"/>
    </row>
    <row r="254" spans="1:37" x14ac:dyDescent="0.2">
      <c r="A254" s="14">
        <v>254</v>
      </c>
      <c r="C254" s="101">
        <f>I253+1</f>
        <v>28</v>
      </c>
      <c r="D254" s="125">
        <v>29</v>
      </c>
      <c r="E254" s="125">
        <v>30</v>
      </c>
      <c r="F254" s="401">
        <v>31</v>
      </c>
      <c r="G254" s="129"/>
      <c r="H254" s="129"/>
      <c r="I254" s="114"/>
      <c r="K254" s="122">
        <v>44</v>
      </c>
      <c r="L254" s="4"/>
      <c r="M254" s="4"/>
      <c r="N254" s="4"/>
      <c r="O254" s="101"/>
      <c r="P254" s="125"/>
      <c r="Q254" s="129"/>
      <c r="R254" s="129"/>
      <c r="S254" s="129"/>
      <c r="T254" s="129"/>
      <c r="U254" s="114"/>
      <c r="V254" s="133"/>
      <c r="W254" s="100"/>
      <c r="X254" s="4"/>
      <c r="Y254" s="4"/>
      <c r="Z254" s="4"/>
      <c r="AA254" s="101">
        <v>30</v>
      </c>
      <c r="AB254" s="125">
        <v>31</v>
      </c>
      <c r="AC254" s="129"/>
      <c r="AD254" s="129"/>
      <c r="AE254" s="129"/>
      <c r="AF254" s="129"/>
      <c r="AG254" s="114"/>
      <c r="AI254" s="116"/>
      <c r="AJ254" s="4"/>
      <c r="AK254" s="4"/>
    </row>
    <row r="255" spans="1:37" x14ac:dyDescent="0.2">
      <c r="A255" s="14">
        <v>255</v>
      </c>
      <c r="C255" s="88"/>
      <c r="D255" s="88"/>
      <c r="E255" s="88"/>
      <c r="F255" s="88"/>
      <c r="G255" s="88"/>
      <c r="H255" s="88"/>
      <c r="I255" s="8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88"/>
      <c r="AB255" s="88"/>
      <c r="AC255" s="88"/>
      <c r="AD255" s="88"/>
      <c r="AE255" s="88"/>
      <c r="AF255" s="88"/>
      <c r="AG255" s="88"/>
      <c r="AH255" s="4"/>
      <c r="AI255" s="4"/>
      <c r="AJ255" s="4"/>
      <c r="AK255" s="4"/>
    </row>
    <row r="256" spans="1:37" ht="12.75" x14ac:dyDescent="0.2">
      <c r="A256" s="14">
        <v>256</v>
      </c>
      <c r="C256" s="157"/>
      <c r="D256" s="141"/>
      <c r="E256" s="141"/>
      <c r="F256" s="141"/>
      <c r="G256" s="141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1"/>
      <c r="S256" s="140"/>
      <c r="T256" s="140"/>
      <c r="U256" s="140"/>
      <c r="V256" s="140"/>
      <c r="W256" s="140"/>
      <c r="X256" s="142" t="s">
        <v>959</v>
      </c>
      <c r="Y256" s="141"/>
      <c r="Z256" s="4"/>
      <c r="AA256" s="88"/>
      <c r="AB256" s="88"/>
      <c r="AC256" s="88"/>
      <c r="AD256" s="88"/>
      <c r="AH256" s="153" t="s">
        <v>888</v>
      </c>
      <c r="AI256" s="144">
        <f>(M223+Y223+AK223+M232+Y232+AK232+M241+Y241+AK241+M250+Y250+AK250)</f>
        <v>53</v>
      </c>
    </row>
    <row r="257" spans="1:37" x14ac:dyDescent="0.2">
      <c r="A257" s="14">
        <v>257</v>
      </c>
      <c r="Z257" s="4"/>
      <c r="AA257" s="88"/>
      <c r="AB257" s="88"/>
      <c r="AC257" s="88"/>
      <c r="AD257" s="88"/>
      <c r="AH257" s="153" t="s">
        <v>889</v>
      </c>
      <c r="AI257" s="145">
        <f>(M224+Y224+AK224+M233+Y233+AK233+M242+Y242+AK242+M251+Y251+AK251)</f>
        <v>52</v>
      </c>
    </row>
    <row r="258" spans="1:37" x14ac:dyDescent="0.2">
      <c r="A258" s="14">
        <v>258</v>
      </c>
      <c r="C258" s="135"/>
      <c r="H258" s="4"/>
      <c r="I258" s="4"/>
      <c r="J258" s="4"/>
      <c r="K258" s="4"/>
      <c r="L258" s="4"/>
      <c r="M258" s="4"/>
      <c r="N258" s="4"/>
      <c r="O258" s="4"/>
      <c r="P258" s="4"/>
      <c r="Q258" s="4"/>
      <c r="S258" s="4"/>
      <c r="T258" s="4"/>
      <c r="U258" s="4"/>
      <c r="V258" s="4"/>
      <c r="W258" s="4"/>
      <c r="Z258" s="4"/>
      <c r="AA258" s="88"/>
      <c r="AB258" s="88"/>
      <c r="AC258" s="88"/>
      <c r="AD258" s="88"/>
      <c r="AH258" s="153" t="s">
        <v>890</v>
      </c>
      <c r="AI258" s="154">
        <f>(M225+Y225+AK225+M234+Y234+AK234+M243+Y243+AK243+M252+Y252+AK252)</f>
        <v>366</v>
      </c>
      <c r="AJ258" s="147" t="str">
        <f>IF(AI258&gt;365,"BISIESTO","NORMAL")</f>
        <v>BISIESTO</v>
      </c>
    </row>
    <row r="259" spans="1:37" x14ac:dyDescent="0.2">
      <c r="A259" s="14">
        <v>259</v>
      </c>
      <c r="C259" s="135"/>
      <c r="H259" s="4"/>
      <c r="I259" s="4"/>
      <c r="J259" s="4"/>
      <c r="K259" s="4"/>
      <c r="L259" s="4"/>
      <c r="M259" s="4"/>
      <c r="N259" s="4"/>
      <c r="O259" s="4"/>
      <c r="P259" s="4"/>
      <c r="Q259" s="4"/>
      <c r="S259" s="4"/>
      <c r="T259" s="4"/>
      <c r="U259" s="4"/>
      <c r="V259" s="4"/>
      <c r="W259" s="4"/>
      <c r="Z259" s="4"/>
      <c r="AA259" s="88"/>
      <c r="AB259" s="88"/>
      <c r="AC259" s="88"/>
      <c r="AD259" s="88"/>
      <c r="AH259" s="153" t="s">
        <v>892</v>
      </c>
      <c r="AI259" s="149">
        <v>52</v>
      </c>
    </row>
    <row r="260" spans="1:37" x14ac:dyDescent="0.2">
      <c r="A260" s="14">
        <v>260</v>
      </c>
    </row>
    <row r="261" spans="1:37" ht="12.75" x14ac:dyDescent="0.2">
      <c r="A261" s="14">
        <v>261</v>
      </c>
      <c r="C261" s="85" t="s">
        <v>960</v>
      </c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</row>
    <row r="262" spans="1:37" x14ac:dyDescent="0.2">
      <c r="A262" s="14">
        <v>262</v>
      </c>
    </row>
    <row r="263" spans="1:37" x14ac:dyDescent="0.2">
      <c r="A263" s="14">
        <v>263</v>
      </c>
      <c r="C263" s="404" t="s">
        <v>961</v>
      </c>
      <c r="D263" s="88"/>
      <c r="E263" s="88"/>
      <c r="F263" s="88"/>
      <c r="G263" s="88"/>
      <c r="H263" s="88"/>
      <c r="I263" s="88"/>
      <c r="J263" s="4"/>
      <c r="K263" s="4"/>
      <c r="L263" s="89"/>
      <c r="M263" s="90"/>
      <c r="N263" s="4"/>
      <c r="O263" s="404" t="s">
        <v>962</v>
      </c>
      <c r="P263" s="88"/>
      <c r="Q263" s="88"/>
      <c r="R263" s="88"/>
      <c r="S263" s="88"/>
      <c r="T263" s="88"/>
      <c r="U263" s="88"/>
      <c r="V263" s="4"/>
      <c r="W263" s="4"/>
      <c r="X263" s="4"/>
      <c r="Y263" s="4"/>
      <c r="Z263" s="4"/>
      <c r="AA263" s="404" t="s">
        <v>963</v>
      </c>
      <c r="AB263" s="88"/>
      <c r="AC263" s="88"/>
      <c r="AD263" s="88"/>
      <c r="AE263" s="88"/>
      <c r="AF263" s="88"/>
      <c r="AG263" s="88"/>
      <c r="AH263" s="4"/>
      <c r="AI263" s="4"/>
      <c r="AJ263" s="4"/>
      <c r="AK263" s="4"/>
    </row>
    <row r="264" spans="1:37" x14ac:dyDescent="0.2">
      <c r="A264" s="14">
        <v>264</v>
      </c>
      <c r="C264" s="55" t="s">
        <v>3</v>
      </c>
      <c r="D264" s="55" t="s">
        <v>177</v>
      </c>
      <c r="E264" s="55" t="s">
        <v>178</v>
      </c>
      <c r="F264" s="55" t="s">
        <v>178</v>
      </c>
      <c r="G264" s="55" t="s">
        <v>9</v>
      </c>
      <c r="H264" s="55" t="s">
        <v>857</v>
      </c>
      <c r="I264" s="55" t="s">
        <v>854</v>
      </c>
      <c r="K264" s="56" t="s">
        <v>877</v>
      </c>
      <c r="L264" s="4"/>
      <c r="M264" s="4"/>
      <c r="N264" s="4"/>
      <c r="O264" s="55" t="s">
        <v>3</v>
      </c>
      <c r="P264" s="55" t="s">
        <v>177</v>
      </c>
      <c r="Q264" s="55" t="s">
        <v>178</v>
      </c>
      <c r="R264" s="55" t="s">
        <v>178</v>
      </c>
      <c r="S264" s="55" t="s">
        <v>9</v>
      </c>
      <c r="T264" s="55" t="s">
        <v>857</v>
      </c>
      <c r="U264" s="55" t="s">
        <v>854</v>
      </c>
      <c r="W264" s="56" t="s">
        <v>877</v>
      </c>
      <c r="X264" s="4"/>
      <c r="Y264" s="57"/>
      <c r="Z264" s="4"/>
      <c r="AA264" s="55" t="s">
        <v>3</v>
      </c>
      <c r="AB264" s="55" t="s">
        <v>177</v>
      </c>
      <c r="AC264" s="55" t="s">
        <v>178</v>
      </c>
      <c r="AD264" s="55" t="s">
        <v>178</v>
      </c>
      <c r="AE264" s="55" t="s">
        <v>9</v>
      </c>
      <c r="AF264" s="55" t="s">
        <v>857</v>
      </c>
      <c r="AG264" s="55" t="s">
        <v>854</v>
      </c>
      <c r="AI264" s="56" t="s">
        <v>877</v>
      </c>
      <c r="AJ264" s="4"/>
      <c r="AK264" s="4"/>
    </row>
    <row r="265" spans="1:37" x14ac:dyDescent="0.2">
      <c r="A265" s="14">
        <v>265</v>
      </c>
      <c r="C265" s="58"/>
      <c r="D265" s="91"/>
      <c r="E265" s="156">
        <v>1</v>
      </c>
      <c r="F265" s="91">
        <f t="shared" ref="F265:I268" si="98">E265+1</f>
        <v>2</v>
      </c>
      <c r="G265" s="91">
        <f t="shared" si="98"/>
        <v>3</v>
      </c>
      <c r="H265" s="91">
        <f t="shared" si="98"/>
        <v>4</v>
      </c>
      <c r="I265" s="405">
        <f t="shared" si="98"/>
        <v>5</v>
      </c>
      <c r="K265" s="93">
        <v>1</v>
      </c>
      <c r="L265" s="94"/>
      <c r="M265" s="95"/>
      <c r="N265" s="96"/>
      <c r="O265" s="101"/>
      <c r="P265" s="91"/>
      <c r="Q265" s="91"/>
      <c r="R265" s="91"/>
      <c r="S265" s="91"/>
      <c r="T265" s="91">
        <v>1</v>
      </c>
      <c r="U265" s="92">
        <f>T265+1</f>
        <v>2</v>
      </c>
      <c r="W265" s="98">
        <v>5</v>
      </c>
      <c r="X265" s="94"/>
      <c r="Y265" s="99"/>
      <c r="Z265" s="96"/>
      <c r="AA265" s="101"/>
      <c r="AB265" s="91"/>
      <c r="AC265" s="91"/>
      <c r="AD265" s="91"/>
      <c r="AE265" s="91"/>
      <c r="AF265" s="91">
        <v>1</v>
      </c>
      <c r="AG265" s="92">
        <f>AF265+1</f>
        <v>2</v>
      </c>
      <c r="AI265" s="100">
        <v>9</v>
      </c>
      <c r="AJ265" s="94"/>
      <c r="AK265" s="49"/>
    </row>
    <row r="266" spans="1:37" x14ac:dyDescent="0.2">
      <c r="A266" s="14">
        <v>266</v>
      </c>
      <c r="C266" s="101">
        <f>I265+1</f>
        <v>6</v>
      </c>
      <c r="D266" s="91">
        <f t="shared" ref="D266:E269" si="99">C266+1</f>
        <v>7</v>
      </c>
      <c r="E266" s="91">
        <f t="shared" si="99"/>
        <v>8</v>
      </c>
      <c r="F266" s="91">
        <f t="shared" si="98"/>
        <v>9</v>
      </c>
      <c r="G266" s="91">
        <f t="shared" si="98"/>
        <v>10</v>
      </c>
      <c r="H266" s="91">
        <f t="shared" si="98"/>
        <v>11</v>
      </c>
      <c r="I266" s="92">
        <f t="shared" si="98"/>
        <v>12</v>
      </c>
      <c r="K266" s="93">
        <v>2</v>
      </c>
      <c r="L266" s="103" t="s">
        <v>418</v>
      </c>
      <c r="M266" s="104">
        <v>4</v>
      </c>
      <c r="N266" s="96"/>
      <c r="O266" s="101">
        <f>U265+1</f>
        <v>3</v>
      </c>
      <c r="P266" s="91">
        <f t="shared" ref="P266:T268" si="100">O266+1</f>
        <v>4</v>
      </c>
      <c r="Q266" s="91">
        <f t="shared" si="100"/>
        <v>5</v>
      </c>
      <c r="R266" s="91">
        <f t="shared" si="100"/>
        <v>6</v>
      </c>
      <c r="S266" s="91">
        <f t="shared" si="100"/>
        <v>7</v>
      </c>
      <c r="T266" s="91">
        <f t="shared" si="100"/>
        <v>8</v>
      </c>
      <c r="U266" s="92">
        <f>T266+1</f>
        <v>9</v>
      </c>
      <c r="W266" s="98">
        <v>6</v>
      </c>
      <c r="X266" s="103" t="s">
        <v>418</v>
      </c>
      <c r="Y266" s="105">
        <v>4</v>
      </c>
      <c r="Z266" s="96"/>
      <c r="AA266" s="101">
        <f>AG265+1</f>
        <v>3</v>
      </c>
      <c r="AB266" s="91">
        <f t="shared" ref="AB266:AF268" si="101">AA266+1</f>
        <v>4</v>
      </c>
      <c r="AC266" s="91">
        <f t="shared" si="101"/>
        <v>5</v>
      </c>
      <c r="AD266" s="91">
        <f t="shared" si="101"/>
        <v>6</v>
      </c>
      <c r="AE266" s="91">
        <f t="shared" si="101"/>
        <v>7</v>
      </c>
      <c r="AF266" s="91">
        <f t="shared" si="101"/>
        <v>8</v>
      </c>
      <c r="AG266" s="92">
        <f>AF266+1</f>
        <v>9</v>
      </c>
      <c r="AI266" s="100">
        <v>10</v>
      </c>
      <c r="AJ266" s="103" t="s">
        <v>418</v>
      </c>
      <c r="AK266" s="106">
        <v>5</v>
      </c>
    </row>
    <row r="267" spans="1:37" x14ac:dyDescent="0.2">
      <c r="A267" s="14">
        <v>267</v>
      </c>
      <c r="C267" s="101">
        <f>I266+1</f>
        <v>13</v>
      </c>
      <c r="D267" s="91">
        <f t="shared" si="99"/>
        <v>14</v>
      </c>
      <c r="E267" s="91">
        <f t="shared" si="99"/>
        <v>15</v>
      </c>
      <c r="F267" s="91">
        <f t="shared" si="98"/>
        <v>16</v>
      </c>
      <c r="G267" s="91">
        <f t="shared" si="98"/>
        <v>17</v>
      </c>
      <c r="H267" s="91">
        <f t="shared" si="98"/>
        <v>18</v>
      </c>
      <c r="I267" s="92">
        <f t="shared" si="98"/>
        <v>19</v>
      </c>
      <c r="K267" s="93">
        <v>3</v>
      </c>
      <c r="L267" s="103" t="s">
        <v>425</v>
      </c>
      <c r="M267" s="104">
        <v>4</v>
      </c>
      <c r="N267" s="96"/>
      <c r="O267" s="101">
        <f>U266+1</f>
        <v>10</v>
      </c>
      <c r="P267" s="91">
        <f t="shared" si="100"/>
        <v>11</v>
      </c>
      <c r="Q267" s="91">
        <f t="shared" si="100"/>
        <v>12</v>
      </c>
      <c r="R267" s="91">
        <f t="shared" si="100"/>
        <v>13</v>
      </c>
      <c r="S267" s="91">
        <f t="shared" si="100"/>
        <v>14</v>
      </c>
      <c r="T267" s="91">
        <f t="shared" si="100"/>
        <v>15</v>
      </c>
      <c r="U267" s="92">
        <f>T267+1</f>
        <v>16</v>
      </c>
      <c r="W267" s="98">
        <v>7</v>
      </c>
      <c r="X267" s="103" t="s">
        <v>425</v>
      </c>
      <c r="Y267" s="105">
        <v>4</v>
      </c>
      <c r="Z267" s="96"/>
      <c r="AA267" s="101">
        <f>AG266+1</f>
        <v>10</v>
      </c>
      <c r="AB267" s="91">
        <f t="shared" si="101"/>
        <v>11</v>
      </c>
      <c r="AC267" s="91">
        <f t="shared" si="101"/>
        <v>12</v>
      </c>
      <c r="AD267" s="91">
        <f t="shared" si="101"/>
        <v>13</v>
      </c>
      <c r="AE267" s="91">
        <f t="shared" si="101"/>
        <v>14</v>
      </c>
      <c r="AF267" s="91">
        <f t="shared" si="101"/>
        <v>15</v>
      </c>
      <c r="AG267" s="92">
        <f>AF267+1</f>
        <v>16</v>
      </c>
      <c r="AI267" s="100">
        <v>11</v>
      </c>
      <c r="AJ267" s="103" t="s">
        <v>425</v>
      </c>
      <c r="AK267" s="106">
        <v>5</v>
      </c>
    </row>
    <row r="268" spans="1:37" x14ac:dyDescent="0.2">
      <c r="A268" s="14">
        <v>268</v>
      </c>
      <c r="C268" s="101">
        <f>I267+1</f>
        <v>20</v>
      </c>
      <c r="D268" s="91">
        <f t="shared" si="99"/>
        <v>21</v>
      </c>
      <c r="E268" s="91">
        <f t="shared" si="99"/>
        <v>22</v>
      </c>
      <c r="F268" s="91">
        <f t="shared" si="98"/>
        <v>23</v>
      </c>
      <c r="G268" s="91">
        <f t="shared" si="98"/>
        <v>24</v>
      </c>
      <c r="H268" s="91">
        <f t="shared" si="98"/>
        <v>25</v>
      </c>
      <c r="I268" s="92">
        <f t="shared" si="98"/>
        <v>26</v>
      </c>
      <c r="K268" s="93">
        <v>4</v>
      </c>
      <c r="L268" s="103" t="s">
        <v>878</v>
      </c>
      <c r="M268" s="104">
        <v>31</v>
      </c>
      <c r="N268" s="96"/>
      <c r="O268" s="101">
        <f>U267+1</f>
        <v>17</v>
      </c>
      <c r="P268" s="91">
        <f t="shared" si="100"/>
        <v>18</v>
      </c>
      <c r="Q268" s="91">
        <f t="shared" si="100"/>
        <v>19</v>
      </c>
      <c r="R268" s="91">
        <f t="shared" si="100"/>
        <v>20</v>
      </c>
      <c r="S268" s="91">
        <f t="shared" si="100"/>
        <v>21</v>
      </c>
      <c r="T268" s="91">
        <f t="shared" si="100"/>
        <v>22</v>
      </c>
      <c r="U268" s="92">
        <f>T268+1</f>
        <v>23</v>
      </c>
      <c r="W268" s="98">
        <v>8</v>
      </c>
      <c r="X268" s="103" t="s">
        <v>878</v>
      </c>
      <c r="Y268" s="105">
        <v>28</v>
      </c>
      <c r="Z268" s="96"/>
      <c r="AA268" s="101">
        <f>AG267+1</f>
        <v>17</v>
      </c>
      <c r="AB268" s="91">
        <f t="shared" si="101"/>
        <v>18</v>
      </c>
      <c r="AC268" s="91">
        <f t="shared" si="101"/>
        <v>19</v>
      </c>
      <c r="AD268" s="91">
        <f t="shared" si="101"/>
        <v>20</v>
      </c>
      <c r="AE268" s="124">
        <f t="shared" si="101"/>
        <v>21</v>
      </c>
      <c r="AF268" s="131">
        <f t="shared" si="101"/>
        <v>22</v>
      </c>
      <c r="AG268" s="92">
        <f>AF268+1</f>
        <v>23</v>
      </c>
      <c r="AI268" s="100">
        <v>12</v>
      </c>
      <c r="AJ268" s="103" t="s">
        <v>878</v>
      </c>
      <c r="AK268" s="106">
        <v>31</v>
      </c>
    </row>
    <row r="269" spans="1:37" x14ac:dyDescent="0.2">
      <c r="A269" s="14">
        <v>269</v>
      </c>
      <c r="C269" s="101">
        <f>I268+1</f>
        <v>27</v>
      </c>
      <c r="D269" s="91">
        <f t="shared" si="99"/>
        <v>28</v>
      </c>
      <c r="E269" s="91">
        <f t="shared" si="99"/>
        <v>29</v>
      </c>
      <c r="F269" s="91">
        <f>E269+1</f>
        <v>30</v>
      </c>
      <c r="G269" s="91">
        <f>F269+1</f>
        <v>31</v>
      </c>
      <c r="H269" s="91"/>
      <c r="I269" s="92"/>
      <c r="K269" s="93">
        <v>5</v>
      </c>
      <c r="L269" s="107"/>
      <c r="M269" s="108"/>
      <c r="N269" s="96"/>
      <c r="O269" s="101">
        <v>24</v>
      </c>
      <c r="P269" s="91">
        <v>25</v>
      </c>
      <c r="Q269" s="91">
        <v>26</v>
      </c>
      <c r="R269" s="91">
        <v>27</v>
      </c>
      <c r="S269" s="91">
        <v>28</v>
      </c>
      <c r="T269" s="91"/>
      <c r="U269" s="92"/>
      <c r="W269" s="98">
        <v>9</v>
      </c>
      <c r="X269" s="107"/>
      <c r="Y269" s="109"/>
      <c r="Z269" s="96"/>
      <c r="AA269" s="101">
        <f>AG268+1</f>
        <v>24</v>
      </c>
      <c r="AB269" s="91">
        <f>AA269+1</f>
        <v>25</v>
      </c>
      <c r="AC269" s="91">
        <f>AB269+1</f>
        <v>26</v>
      </c>
      <c r="AD269" s="134">
        <v>27</v>
      </c>
      <c r="AE269" s="91">
        <v>28</v>
      </c>
      <c r="AF269" s="91">
        <v>29</v>
      </c>
      <c r="AG269" s="92">
        <v>30</v>
      </c>
      <c r="AI269" s="100">
        <v>13</v>
      </c>
      <c r="AJ269" s="111"/>
      <c r="AK269" s="112"/>
    </row>
    <row r="270" spans="1:37" x14ac:dyDescent="0.2">
      <c r="A270" s="14">
        <v>270</v>
      </c>
      <c r="C270" s="101"/>
      <c r="D270" s="91"/>
      <c r="E270" s="91"/>
      <c r="F270" s="113"/>
      <c r="G270" s="113"/>
      <c r="H270" s="113"/>
      <c r="I270" s="114"/>
      <c r="K270" s="93"/>
      <c r="L270" s="107"/>
      <c r="M270" s="115"/>
      <c r="N270" s="96"/>
      <c r="O270" s="101"/>
      <c r="P270" s="91"/>
      <c r="Q270" s="113"/>
      <c r="R270" s="113"/>
      <c r="S270" s="113"/>
      <c r="T270" s="113"/>
      <c r="U270" s="114"/>
      <c r="W270" s="98"/>
      <c r="X270" s="107"/>
      <c r="Y270" s="96"/>
      <c r="Z270" s="96"/>
      <c r="AA270" s="101">
        <v>31</v>
      </c>
      <c r="AB270" s="91"/>
      <c r="AC270" s="113"/>
      <c r="AD270" s="113"/>
      <c r="AE270" s="113"/>
      <c r="AF270" s="113"/>
      <c r="AG270" s="114"/>
      <c r="AI270" s="100"/>
      <c r="AJ270" s="111"/>
      <c r="AK270" s="4"/>
    </row>
    <row r="271" spans="1:37" x14ac:dyDescent="0.2">
      <c r="A271" s="14">
        <v>271</v>
      </c>
      <c r="C271" s="88"/>
      <c r="D271" s="88"/>
      <c r="E271" s="88"/>
      <c r="F271" s="88"/>
      <c r="G271" s="88"/>
      <c r="H271" s="88"/>
      <c r="I271" s="88"/>
      <c r="K271" s="117"/>
      <c r="L271" s="111"/>
      <c r="M271" s="118"/>
      <c r="N271" s="4"/>
      <c r="O271" s="4"/>
      <c r="P271" s="4"/>
      <c r="Q271" s="4"/>
      <c r="R271" s="4"/>
      <c r="S271" s="4"/>
      <c r="T271" s="4"/>
      <c r="U271" s="4"/>
      <c r="W271" s="119"/>
      <c r="X271" s="111"/>
      <c r="Y271" s="4"/>
      <c r="Z271" s="4"/>
      <c r="AA271" s="4"/>
      <c r="AB271" s="4"/>
      <c r="AC271" s="4"/>
      <c r="AD271" s="4"/>
      <c r="AE271" s="4"/>
      <c r="AF271" s="4"/>
      <c r="AG271" s="4"/>
      <c r="AI271" s="120"/>
      <c r="AJ271" s="111"/>
      <c r="AK271" s="4"/>
    </row>
    <row r="272" spans="1:37" x14ac:dyDescent="0.2">
      <c r="A272" s="14">
        <v>272</v>
      </c>
      <c r="C272" s="404" t="s">
        <v>964</v>
      </c>
      <c r="D272" s="88"/>
      <c r="E272" s="88"/>
      <c r="F272" s="88"/>
      <c r="G272" s="88"/>
      <c r="H272" s="88"/>
      <c r="I272" s="88"/>
      <c r="K272" s="117"/>
      <c r="L272" s="111"/>
      <c r="M272" s="121"/>
      <c r="N272" s="4"/>
      <c r="O272" s="404" t="s">
        <v>965</v>
      </c>
      <c r="P272" s="88"/>
      <c r="Q272" s="88"/>
      <c r="R272" s="88"/>
      <c r="S272" s="88"/>
      <c r="T272" s="88"/>
      <c r="U272" s="88"/>
      <c r="W272" s="119"/>
      <c r="X272" s="111"/>
      <c r="Y272" s="4"/>
      <c r="Z272" s="4"/>
      <c r="AA272" s="404" t="s">
        <v>966</v>
      </c>
      <c r="AB272" s="88"/>
      <c r="AC272" s="88"/>
      <c r="AD272" s="88"/>
      <c r="AE272" s="88"/>
      <c r="AF272" s="88"/>
      <c r="AG272" s="88"/>
      <c r="AI272" s="120"/>
      <c r="AJ272" s="111"/>
      <c r="AK272" s="4"/>
    </row>
    <row r="273" spans="1:37" x14ac:dyDescent="0.2">
      <c r="A273" s="14">
        <v>273</v>
      </c>
      <c r="C273" s="55" t="s">
        <v>3</v>
      </c>
      <c r="D273" s="55" t="s">
        <v>177</v>
      </c>
      <c r="E273" s="55" t="s">
        <v>178</v>
      </c>
      <c r="F273" s="55" t="s">
        <v>178</v>
      </c>
      <c r="G273" s="55" t="s">
        <v>9</v>
      </c>
      <c r="H273" s="55" t="s">
        <v>857</v>
      </c>
      <c r="I273" s="55" t="s">
        <v>854</v>
      </c>
      <c r="K273" s="56" t="s">
        <v>877</v>
      </c>
      <c r="L273" s="111"/>
      <c r="M273" s="121"/>
      <c r="N273" s="4"/>
      <c r="O273" s="55" t="s">
        <v>3</v>
      </c>
      <c r="P273" s="55" t="s">
        <v>177</v>
      </c>
      <c r="Q273" s="55" t="s">
        <v>178</v>
      </c>
      <c r="R273" s="55" t="s">
        <v>178</v>
      </c>
      <c r="S273" s="55" t="s">
        <v>9</v>
      </c>
      <c r="T273" s="55" t="s">
        <v>857</v>
      </c>
      <c r="U273" s="55" t="s">
        <v>854</v>
      </c>
      <c r="W273" s="56" t="s">
        <v>877</v>
      </c>
      <c r="X273" s="111"/>
      <c r="Y273" s="4"/>
      <c r="Z273" s="4"/>
      <c r="AA273" s="55" t="s">
        <v>3</v>
      </c>
      <c r="AB273" s="55" t="s">
        <v>177</v>
      </c>
      <c r="AC273" s="55" t="s">
        <v>178</v>
      </c>
      <c r="AD273" s="55" t="s">
        <v>178</v>
      </c>
      <c r="AE273" s="55" t="s">
        <v>9</v>
      </c>
      <c r="AF273" s="55" t="s">
        <v>857</v>
      </c>
      <c r="AG273" s="55" t="s">
        <v>854</v>
      </c>
      <c r="AI273" s="56" t="s">
        <v>877</v>
      </c>
      <c r="AJ273" s="111"/>
      <c r="AK273" s="4"/>
    </row>
    <row r="274" spans="1:37" x14ac:dyDescent="0.2">
      <c r="A274" s="14">
        <v>274</v>
      </c>
      <c r="C274" s="58"/>
      <c r="D274" s="91">
        <v>1</v>
      </c>
      <c r="E274" s="91">
        <f t="shared" ref="E274:I277" si="102">D274+1</f>
        <v>2</v>
      </c>
      <c r="F274" s="91">
        <f t="shared" si="102"/>
        <v>3</v>
      </c>
      <c r="G274" s="91">
        <f t="shared" si="102"/>
        <v>4</v>
      </c>
      <c r="H274" s="91">
        <f t="shared" si="102"/>
        <v>5</v>
      </c>
      <c r="I274" s="92">
        <f t="shared" si="102"/>
        <v>6</v>
      </c>
      <c r="K274" s="122">
        <v>14</v>
      </c>
      <c r="L274" s="94"/>
      <c r="M274" s="123"/>
      <c r="N274" s="4"/>
      <c r="O274" s="58"/>
      <c r="P274" s="97"/>
      <c r="Q274" s="125"/>
      <c r="R274" s="125">
        <v>1</v>
      </c>
      <c r="S274" s="125">
        <f t="shared" ref="S274:U275" si="103">R274+1</f>
        <v>2</v>
      </c>
      <c r="T274" s="125">
        <f t="shared" si="103"/>
        <v>3</v>
      </c>
      <c r="U274" s="407">
        <f t="shared" si="103"/>
        <v>4</v>
      </c>
      <c r="W274" s="100">
        <v>18</v>
      </c>
      <c r="X274" s="94"/>
      <c r="Y274" s="49"/>
      <c r="Z274" s="4"/>
      <c r="AA274" s="101"/>
      <c r="AB274" s="125"/>
      <c r="AC274" s="125"/>
      <c r="AD274" s="125"/>
      <c r="AE274" s="125"/>
      <c r="AF274" s="125"/>
      <c r="AG274" s="92">
        <v>1</v>
      </c>
      <c r="AI274" s="100">
        <v>22</v>
      </c>
      <c r="AJ274" s="94"/>
      <c r="AK274" s="123"/>
    </row>
    <row r="275" spans="1:37" x14ac:dyDescent="0.2">
      <c r="A275" s="14">
        <v>275</v>
      </c>
      <c r="C275" s="101">
        <f>I274+1</f>
        <v>7</v>
      </c>
      <c r="D275" s="91">
        <f>C275+1</f>
        <v>8</v>
      </c>
      <c r="E275" s="91">
        <f t="shared" si="102"/>
        <v>9</v>
      </c>
      <c r="F275" s="91">
        <f t="shared" si="102"/>
        <v>10</v>
      </c>
      <c r="G275" s="124">
        <f t="shared" si="102"/>
        <v>11</v>
      </c>
      <c r="H275" s="124">
        <f t="shared" si="102"/>
        <v>12</v>
      </c>
      <c r="I275" s="92">
        <f t="shared" si="102"/>
        <v>13</v>
      </c>
      <c r="K275" s="122">
        <v>15</v>
      </c>
      <c r="L275" s="103" t="s">
        <v>418</v>
      </c>
      <c r="M275" s="126">
        <v>4</v>
      </c>
      <c r="N275" s="4"/>
      <c r="O275" s="406">
        <v>5</v>
      </c>
      <c r="P275" s="125">
        <f t="shared" ref="P275:R278" si="104">O275+1</f>
        <v>6</v>
      </c>
      <c r="Q275" s="125">
        <f t="shared" si="104"/>
        <v>7</v>
      </c>
      <c r="R275" s="125">
        <f t="shared" si="104"/>
        <v>8</v>
      </c>
      <c r="S275" s="125">
        <f t="shared" si="103"/>
        <v>9</v>
      </c>
      <c r="T275" s="125">
        <f t="shared" si="103"/>
        <v>10</v>
      </c>
      <c r="U275" s="92">
        <f t="shared" si="103"/>
        <v>11</v>
      </c>
      <c r="W275" s="100">
        <v>19</v>
      </c>
      <c r="X275" s="103" t="s">
        <v>418</v>
      </c>
      <c r="Y275" s="106">
        <v>4</v>
      </c>
      <c r="Z275" s="4"/>
      <c r="AA275" s="101">
        <f>AG274+1</f>
        <v>2</v>
      </c>
      <c r="AB275" s="125">
        <f t="shared" ref="AB275:AG277" si="105">AA275+1</f>
        <v>3</v>
      </c>
      <c r="AC275" s="125">
        <f t="shared" si="105"/>
        <v>4</v>
      </c>
      <c r="AD275" s="125">
        <f t="shared" si="105"/>
        <v>5</v>
      </c>
      <c r="AE275" s="125">
        <f t="shared" si="105"/>
        <v>6</v>
      </c>
      <c r="AF275" s="125">
        <f t="shared" si="105"/>
        <v>7</v>
      </c>
      <c r="AG275" s="92">
        <f t="shared" si="105"/>
        <v>8</v>
      </c>
      <c r="AI275" s="100">
        <v>23</v>
      </c>
      <c r="AJ275" s="103" t="s">
        <v>418</v>
      </c>
      <c r="AK275" s="106">
        <v>4</v>
      </c>
    </row>
    <row r="276" spans="1:37" x14ac:dyDescent="0.2">
      <c r="A276" s="14">
        <v>276</v>
      </c>
      <c r="C276" s="101">
        <f>I275+1</f>
        <v>14</v>
      </c>
      <c r="D276" s="91">
        <f>C276+1</f>
        <v>15</v>
      </c>
      <c r="E276" s="91">
        <f t="shared" si="102"/>
        <v>16</v>
      </c>
      <c r="F276" s="91">
        <f t="shared" si="102"/>
        <v>17</v>
      </c>
      <c r="G276" s="91">
        <f t="shared" si="102"/>
        <v>18</v>
      </c>
      <c r="H276" s="91">
        <f t="shared" si="102"/>
        <v>19</v>
      </c>
      <c r="I276" s="92">
        <f t="shared" si="102"/>
        <v>20</v>
      </c>
      <c r="K276" s="122">
        <v>16</v>
      </c>
      <c r="L276" s="103" t="s">
        <v>425</v>
      </c>
      <c r="M276" s="126">
        <v>4</v>
      </c>
      <c r="N276" s="4"/>
      <c r="O276" s="101">
        <f>U275+1</f>
        <v>12</v>
      </c>
      <c r="P276" s="125">
        <f t="shared" si="104"/>
        <v>13</v>
      </c>
      <c r="Q276" s="125">
        <f t="shared" si="104"/>
        <v>14</v>
      </c>
      <c r="R276" s="125">
        <f t="shared" si="104"/>
        <v>15</v>
      </c>
      <c r="S276" s="125">
        <f t="shared" ref="S276:U277" si="106">R276+1</f>
        <v>16</v>
      </c>
      <c r="T276" s="125">
        <f t="shared" si="106"/>
        <v>17</v>
      </c>
      <c r="U276" s="92">
        <f t="shared" si="106"/>
        <v>18</v>
      </c>
      <c r="W276" s="100">
        <v>20</v>
      </c>
      <c r="X276" s="103" t="s">
        <v>425</v>
      </c>
      <c r="Y276" s="106">
        <v>4</v>
      </c>
      <c r="Z276" s="4"/>
      <c r="AA276" s="101">
        <f>AG275+1</f>
        <v>9</v>
      </c>
      <c r="AB276" s="125">
        <f t="shared" si="105"/>
        <v>10</v>
      </c>
      <c r="AC276" s="125">
        <f t="shared" si="105"/>
        <v>11</v>
      </c>
      <c r="AD276" s="125">
        <f t="shared" si="105"/>
        <v>12</v>
      </c>
      <c r="AE276" s="125">
        <f t="shared" si="105"/>
        <v>13</v>
      </c>
      <c r="AF276" s="125">
        <f t="shared" si="105"/>
        <v>14</v>
      </c>
      <c r="AG276" s="92">
        <f t="shared" si="105"/>
        <v>15</v>
      </c>
      <c r="AI276" s="100">
        <v>24</v>
      </c>
      <c r="AJ276" s="103" t="s">
        <v>425</v>
      </c>
      <c r="AK276" s="106">
        <v>5</v>
      </c>
    </row>
    <row r="277" spans="1:37" x14ac:dyDescent="0.2">
      <c r="A277" s="14">
        <v>277</v>
      </c>
      <c r="C277" s="101">
        <f>I276+1</f>
        <v>21</v>
      </c>
      <c r="D277" s="131">
        <f>C277+1</f>
        <v>22</v>
      </c>
      <c r="E277" s="97">
        <f t="shared" si="102"/>
        <v>23</v>
      </c>
      <c r="F277" s="97">
        <f t="shared" si="102"/>
        <v>24</v>
      </c>
      <c r="G277" s="91">
        <f t="shared" si="102"/>
        <v>25</v>
      </c>
      <c r="H277" s="91">
        <f t="shared" si="102"/>
        <v>26</v>
      </c>
      <c r="I277" s="92">
        <f t="shared" si="102"/>
        <v>27</v>
      </c>
      <c r="K277" s="122">
        <v>17</v>
      </c>
      <c r="L277" s="103" t="s">
        <v>878</v>
      </c>
      <c r="M277" s="126">
        <v>30</v>
      </c>
      <c r="N277" s="4"/>
      <c r="O277" s="101">
        <f>U276+1</f>
        <v>19</v>
      </c>
      <c r="P277" s="125">
        <f t="shared" si="104"/>
        <v>20</v>
      </c>
      <c r="Q277" s="125">
        <f t="shared" si="104"/>
        <v>21</v>
      </c>
      <c r="R277" s="125">
        <f t="shared" si="104"/>
        <v>22</v>
      </c>
      <c r="S277" s="125">
        <f t="shared" si="106"/>
        <v>23</v>
      </c>
      <c r="T277" s="125">
        <f t="shared" si="106"/>
        <v>24</v>
      </c>
      <c r="U277" s="92">
        <f t="shared" si="106"/>
        <v>25</v>
      </c>
      <c r="W277" s="100">
        <v>21</v>
      </c>
      <c r="X277" s="103" t="s">
        <v>878</v>
      </c>
      <c r="Y277" s="106">
        <v>31</v>
      </c>
      <c r="Z277" s="4"/>
      <c r="AA277" s="101">
        <f>AG276+1</f>
        <v>16</v>
      </c>
      <c r="AB277" s="125">
        <f t="shared" si="105"/>
        <v>17</v>
      </c>
      <c r="AC277" s="97">
        <f t="shared" si="105"/>
        <v>18</v>
      </c>
      <c r="AD277" s="130">
        <f t="shared" si="105"/>
        <v>19</v>
      </c>
      <c r="AE277" s="130">
        <f t="shared" si="105"/>
        <v>20</v>
      </c>
      <c r="AF277" s="97">
        <f t="shared" si="105"/>
        <v>21</v>
      </c>
      <c r="AG277" s="92">
        <f t="shared" si="105"/>
        <v>22</v>
      </c>
      <c r="AI277" s="100">
        <v>25</v>
      </c>
      <c r="AJ277" s="103" t="s">
        <v>878</v>
      </c>
      <c r="AK277" s="106">
        <v>30</v>
      </c>
    </row>
    <row r="278" spans="1:37" x14ac:dyDescent="0.2">
      <c r="A278" s="14">
        <v>278</v>
      </c>
      <c r="C278" s="101">
        <f>I277+1</f>
        <v>28</v>
      </c>
      <c r="D278" s="91">
        <f>C278+1</f>
        <v>29</v>
      </c>
      <c r="E278" s="91">
        <f>D278+1</f>
        <v>30</v>
      </c>
      <c r="F278" s="91"/>
      <c r="G278" s="91"/>
      <c r="H278" s="91"/>
      <c r="I278" s="92"/>
      <c r="K278" s="122">
        <v>18</v>
      </c>
      <c r="L278" s="111"/>
      <c r="M278" s="127"/>
      <c r="N278" s="4"/>
      <c r="O278" s="101">
        <f>U277+1</f>
        <v>26</v>
      </c>
      <c r="P278" s="125">
        <f t="shared" si="104"/>
        <v>27</v>
      </c>
      <c r="Q278" s="125">
        <f t="shared" si="104"/>
        <v>28</v>
      </c>
      <c r="R278" s="125">
        <f t="shared" si="104"/>
        <v>29</v>
      </c>
      <c r="S278" s="125">
        <f>R278+1</f>
        <v>30</v>
      </c>
      <c r="T278" s="125">
        <f>S278+1</f>
        <v>31</v>
      </c>
      <c r="U278" s="92"/>
      <c r="W278" s="100">
        <v>22</v>
      </c>
      <c r="X278" s="111"/>
      <c r="Y278" s="128"/>
      <c r="Z278" s="4"/>
      <c r="AA278" s="101">
        <f>AG277+1</f>
        <v>23</v>
      </c>
      <c r="AB278" s="125">
        <f>AA278+1</f>
        <v>24</v>
      </c>
      <c r="AC278" s="130">
        <f>AB278+1</f>
        <v>25</v>
      </c>
      <c r="AD278" s="125">
        <f>AC278+1</f>
        <v>26</v>
      </c>
      <c r="AE278" s="125">
        <v>28</v>
      </c>
      <c r="AF278" s="125">
        <v>29</v>
      </c>
      <c r="AG278" s="92">
        <v>30</v>
      </c>
      <c r="AI278" s="100">
        <v>26</v>
      </c>
      <c r="AJ278" s="111"/>
      <c r="AK278" s="112"/>
    </row>
    <row r="279" spans="1:37" x14ac:dyDescent="0.2">
      <c r="A279" s="14">
        <v>279</v>
      </c>
      <c r="C279" s="101"/>
      <c r="D279" s="91"/>
      <c r="E279" s="113"/>
      <c r="F279" s="113"/>
      <c r="G279" s="113"/>
      <c r="H279" s="113"/>
      <c r="I279" s="114"/>
      <c r="K279" s="122"/>
      <c r="L279" s="111"/>
      <c r="M279" s="121"/>
      <c r="N279" s="4"/>
      <c r="O279" s="101"/>
      <c r="P279" s="125"/>
      <c r="Q279" s="401"/>
      <c r="R279" s="401"/>
      <c r="S279" s="401"/>
      <c r="T279" s="129"/>
      <c r="U279" s="114"/>
      <c r="W279" s="100"/>
      <c r="X279" s="111"/>
      <c r="Y279" s="4"/>
      <c r="Z279" s="4"/>
      <c r="AA279" s="101"/>
      <c r="AB279" s="125"/>
      <c r="AC279" s="129"/>
      <c r="AD279" s="129"/>
      <c r="AE279" s="129"/>
      <c r="AF279" s="129"/>
      <c r="AG279" s="114"/>
      <c r="AI279" s="100"/>
      <c r="AJ279" s="111"/>
      <c r="AK279" s="4"/>
    </row>
    <row r="280" spans="1:37" x14ac:dyDescent="0.2">
      <c r="A280" s="14">
        <v>280</v>
      </c>
      <c r="C280" s="88"/>
      <c r="D280" s="88"/>
      <c r="E280" s="88"/>
      <c r="F280" s="88"/>
      <c r="G280" s="88"/>
      <c r="H280" s="88"/>
      <c r="I280" s="88"/>
      <c r="K280" s="117"/>
      <c r="L280" s="111"/>
      <c r="M280" s="121"/>
      <c r="N280" s="4"/>
      <c r="O280" s="88"/>
      <c r="P280" s="88"/>
      <c r="Q280" s="88"/>
      <c r="R280" s="88"/>
      <c r="S280" s="88"/>
      <c r="T280" s="88"/>
      <c r="U280" s="88"/>
      <c r="W280" s="119"/>
      <c r="X280" s="111"/>
      <c r="Y280" s="4"/>
      <c r="Z280" s="4"/>
      <c r="AA280" s="4"/>
      <c r="AB280" s="4"/>
      <c r="AC280" s="4"/>
      <c r="AD280" s="4"/>
      <c r="AE280" s="4"/>
      <c r="AF280" s="4"/>
      <c r="AG280" s="4"/>
      <c r="AI280" s="120"/>
      <c r="AJ280" s="111"/>
      <c r="AK280" s="4"/>
    </row>
    <row r="281" spans="1:37" x14ac:dyDescent="0.2">
      <c r="A281" s="14">
        <v>281</v>
      </c>
      <c r="C281" s="404" t="s">
        <v>967</v>
      </c>
      <c r="D281" s="88"/>
      <c r="E281" s="88"/>
      <c r="F281" s="88"/>
      <c r="G281" s="88"/>
      <c r="H281" s="88"/>
      <c r="I281" s="88"/>
      <c r="K281" s="117"/>
      <c r="L281" s="111"/>
      <c r="M281" s="121"/>
      <c r="N281" s="4"/>
      <c r="O281" s="404" t="s">
        <v>968</v>
      </c>
      <c r="P281" s="88"/>
      <c r="Q281" s="88"/>
      <c r="R281" s="88"/>
      <c r="S281" s="88"/>
      <c r="T281" s="88"/>
      <c r="U281" s="88"/>
      <c r="W281" s="119"/>
      <c r="X281" s="111"/>
      <c r="Y281" s="4"/>
      <c r="Z281" s="4"/>
      <c r="AA281" s="404" t="s">
        <v>969</v>
      </c>
      <c r="AB281" s="88"/>
      <c r="AC281" s="88"/>
      <c r="AD281" s="88"/>
      <c r="AE281" s="88"/>
      <c r="AF281" s="88"/>
      <c r="AG281" s="88"/>
      <c r="AI281" s="120"/>
      <c r="AJ281" s="111"/>
      <c r="AK281" s="4"/>
    </row>
    <row r="282" spans="1:37" x14ac:dyDescent="0.2">
      <c r="A282" s="14">
        <v>282</v>
      </c>
      <c r="C282" s="55" t="s">
        <v>3</v>
      </c>
      <c r="D282" s="55" t="s">
        <v>177</v>
      </c>
      <c r="E282" s="55" t="s">
        <v>178</v>
      </c>
      <c r="F282" s="55" t="s">
        <v>178</v>
      </c>
      <c r="G282" s="55" t="s">
        <v>9</v>
      </c>
      <c r="H282" s="55" t="s">
        <v>857</v>
      </c>
      <c r="I282" s="55" t="s">
        <v>854</v>
      </c>
      <c r="K282" s="56" t="s">
        <v>877</v>
      </c>
      <c r="L282" s="111"/>
      <c r="M282" s="121"/>
      <c r="N282" s="4"/>
      <c r="O282" s="55" t="s">
        <v>3</v>
      </c>
      <c r="P282" s="55" t="s">
        <v>177</v>
      </c>
      <c r="Q282" s="55" t="s">
        <v>178</v>
      </c>
      <c r="R282" s="55" t="s">
        <v>178</v>
      </c>
      <c r="S282" s="55" t="s">
        <v>9</v>
      </c>
      <c r="T282" s="55" t="s">
        <v>857</v>
      </c>
      <c r="U282" s="55" t="s">
        <v>854</v>
      </c>
      <c r="W282" s="56" t="s">
        <v>877</v>
      </c>
      <c r="X282" s="111"/>
      <c r="Y282" s="4"/>
      <c r="Z282" s="4"/>
      <c r="AA282" s="55" t="s">
        <v>3</v>
      </c>
      <c r="AB282" s="55" t="s">
        <v>177</v>
      </c>
      <c r="AC282" s="55" t="s">
        <v>178</v>
      </c>
      <c r="AD282" s="55" t="s">
        <v>178</v>
      </c>
      <c r="AE282" s="55" t="s">
        <v>9</v>
      </c>
      <c r="AF282" s="55" t="s">
        <v>857</v>
      </c>
      <c r="AG282" s="55" t="s">
        <v>854</v>
      </c>
      <c r="AI282" s="56" t="s">
        <v>877</v>
      </c>
      <c r="AJ282" s="111"/>
      <c r="AK282" s="4"/>
    </row>
    <row r="283" spans="1:37" x14ac:dyDescent="0.2">
      <c r="A283" s="14">
        <v>283</v>
      </c>
      <c r="C283" s="58"/>
      <c r="D283" s="408">
        <f>J282+1</f>
        <v>1</v>
      </c>
      <c r="E283" s="130">
        <f t="shared" ref="E283:I286" si="107">D283+1</f>
        <v>2</v>
      </c>
      <c r="F283" s="97">
        <f t="shared" si="107"/>
        <v>3</v>
      </c>
      <c r="G283" s="97">
        <f t="shared" si="107"/>
        <v>4</v>
      </c>
      <c r="H283" s="125">
        <f t="shared" si="107"/>
        <v>5</v>
      </c>
      <c r="I283" s="407">
        <f t="shared" si="107"/>
        <v>6</v>
      </c>
      <c r="K283" s="122">
        <v>27</v>
      </c>
      <c r="L283" s="94"/>
      <c r="M283" s="123"/>
      <c r="N283" s="4"/>
      <c r="O283" s="101"/>
      <c r="P283" s="125"/>
      <c r="Q283" s="125"/>
      <c r="R283" s="125"/>
      <c r="S283" s="125">
        <v>1</v>
      </c>
      <c r="T283" s="125">
        <f t="shared" ref="T283:U286" si="108">S283+1</f>
        <v>2</v>
      </c>
      <c r="U283" s="92">
        <f t="shared" si="108"/>
        <v>3</v>
      </c>
      <c r="W283" s="100">
        <v>31</v>
      </c>
      <c r="X283" s="94"/>
      <c r="Y283" s="49"/>
      <c r="Z283" s="4"/>
      <c r="AA283" s="58"/>
      <c r="AB283" s="125"/>
      <c r="AC283" s="125"/>
      <c r="AD283" s="125"/>
      <c r="AE283" s="125"/>
      <c r="AF283" s="125"/>
      <c r="AG283" s="92"/>
      <c r="AI283" s="100"/>
      <c r="AJ283" s="94"/>
      <c r="AK283" s="49"/>
    </row>
    <row r="284" spans="1:37" x14ac:dyDescent="0.2">
      <c r="A284" s="14">
        <v>284</v>
      </c>
      <c r="C284" s="101">
        <f>I283+1</f>
        <v>7</v>
      </c>
      <c r="D284" s="130">
        <f>C284+1</f>
        <v>8</v>
      </c>
      <c r="E284" s="97">
        <f t="shared" si="107"/>
        <v>9</v>
      </c>
      <c r="F284" s="97">
        <f t="shared" si="107"/>
        <v>10</v>
      </c>
      <c r="G284" s="125">
        <f t="shared" si="107"/>
        <v>11</v>
      </c>
      <c r="H284" s="125">
        <f t="shared" si="107"/>
        <v>12</v>
      </c>
      <c r="I284" s="92">
        <f t="shared" si="107"/>
        <v>13</v>
      </c>
      <c r="K284" s="122">
        <v>28</v>
      </c>
      <c r="L284" s="103" t="s">
        <v>418</v>
      </c>
      <c r="M284" s="126">
        <v>4</v>
      </c>
      <c r="N284" s="4"/>
      <c r="O284" s="101">
        <f>U283+1</f>
        <v>4</v>
      </c>
      <c r="P284" s="125">
        <f t="shared" ref="P284:S286" si="109">O284+1</f>
        <v>5</v>
      </c>
      <c r="Q284" s="125">
        <f t="shared" si="109"/>
        <v>6</v>
      </c>
      <c r="R284" s="125">
        <f t="shared" si="109"/>
        <v>7</v>
      </c>
      <c r="S284" s="125">
        <f t="shared" si="109"/>
        <v>8</v>
      </c>
      <c r="T284" s="125">
        <f t="shared" si="108"/>
        <v>9</v>
      </c>
      <c r="U284" s="92">
        <f t="shared" si="108"/>
        <v>10</v>
      </c>
      <c r="W284" s="100">
        <v>32</v>
      </c>
      <c r="X284" s="103" t="s">
        <v>418</v>
      </c>
      <c r="Y284" s="106">
        <v>4</v>
      </c>
      <c r="Z284" s="4"/>
      <c r="AA284" s="101">
        <v>1</v>
      </c>
      <c r="AB284" s="125">
        <f t="shared" ref="AB284:AG286" si="110">AA284+1</f>
        <v>2</v>
      </c>
      <c r="AC284" s="125">
        <f t="shared" si="110"/>
        <v>3</v>
      </c>
      <c r="AD284" s="125">
        <f t="shared" si="110"/>
        <v>4</v>
      </c>
      <c r="AE284" s="125">
        <f t="shared" si="110"/>
        <v>5</v>
      </c>
      <c r="AF284" s="125">
        <f t="shared" si="110"/>
        <v>6</v>
      </c>
      <c r="AG284" s="92">
        <f t="shared" si="110"/>
        <v>7</v>
      </c>
      <c r="AI284" s="100">
        <v>36</v>
      </c>
      <c r="AJ284" s="103" t="s">
        <v>418</v>
      </c>
      <c r="AK284" s="106">
        <v>5</v>
      </c>
    </row>
    <row r="285" spans="1:37" x14ac:dyDescent="0.2">
      <c r="A285" s="14">
        <v>285</v>
      </c>
      <c r="C285" s="101">
        <f>I284+1</f>
        <v>14</v>
      </c>
      <c r="D285" s="125">
        <f>C285+1</f>
        <v>15</v>
      </c>
      <c r="E285" s="125">
        <f t="shared" si="107"/>
        <v>16</v>
      </c>
      <c r="F285" s="125">
        <f t="shared" si="107"/>
        <v>17</v>
      </c>
      <c r="G285" s="125">
        <f t="shared" si="107"/>
        <v>18</v>
      </c>
      <c r="H285" s="125">
        <f t="shared" si="107"/>
        <v>19</v>
      </c>
      <c r="I285" s="92">
        <f t="shared" si="107"/>
        <v>20</v>
      </c>
      <c r="K285" s="122">
        <v>29</v>
      </c>
      <c r="L285" s="103" t="s">
        <v>425</v>
      </c>
      <c r="M285" s="126">
        <v>4</v>
      </c>
      <c r="N285" s="4"/>
      <c r="O285" s="101">
        <f>U284+1</f>
        <v>11</v>
      </c>
      <c r="P285" s="125">
        <f t="shared" si="109"/>
        <v>12</v>
      </c>
      <c r="Q285" s="125">
        <f t="shared" si="109"/>
        <v>13</v>
      </c>
      <c r="R285" s="125">
        <f t="shared" si="109"/>
        <v>14</v>
      </c>
      <c r="S285" s="125">
        <f t="shared" si="109"/>
        <v>15</v>
      </c>
      <c r="T285" s="125">
        <f t="shared" si="108"/>
        <v>16</v>
      </c>
      <c r="U285" s="92">
        <f t="shared" si="108"/>
        <v>17</v>
      </c>
      <c r="W285" s="100">
        <v>33</v>
      </c>
      <c r="X285" s="103" t="s">
        <v>425</v>
      </c>
      <c r="Y285" s="106">
        <v>5</v>
      </c>
      <c r="Z285" s="4"/>
      <c r="AA285" s="101">
        <f>AG284+1</f>
        <v>8</v>
      </c>
      <c r="AB285" s="125">
        <f t="shared" si="110"/>
        <v>9</v>
      </c>
      <c r="AC285" s="125">
        <f t="shared" si="110"/>
        <v>10</v>
      </c>
      <c r="AD285" s="125">
        <f t="shared" si="110"/>
        <v>11</v>
      </c>
      <c r="AE285" s="125">
        <f t="shared" si="110"/>
        <v>12</v>
      </c>
      <c r="AF285" s="125">
        <f t="shared" si="110"/>
        <v>13</v>
      </c>
      <c r="AG285" s="92">
        <f t="shared" si="110"/>
        <v>14</v>
      </c>
      <c r="AI285" s="100">
        <v>37</v>
      </c>
      <c r="AJ285" s="103" t="s">
        <v>425</v>
      </c>
      <c r="AK285" s="106">
        <v>4</v>
      </c>
    </row>
    <row r="286" spans="1:37" x14ac:dyDescent="0.2">
      <c r="A286" s="14">
        <v>286</v>
      </c>
      <c r="C286" s="101">
        <f>I285+1</f>
        <v>21</v>
      </c>
      <c r="D286" s="125">
        <f>C286+1</f>
        <v>22</v>
      </c>
      <c r="E286" s="125">
        <f t="shared" si="107"/>
        <v>23</v>
      </c>
      <c r="F286" s="125">
        <f t="shared" si="107"/>
        <v>24</v>
      </c>
      <c r="G286" s="134">
        <f t="shared" si="107"/>
        <v>25</v>
      </c>
      <c r="H286" s="124">
        <f t="shared" si="107"/>
        <v>26</v>
      </c>
      <c r="I286" s="92">
        <f t="shared" si="107"/>
        <v>27</v>
      </c>
      <c r="K286" s="122">
        <v>30</v>
      </c>
      <c r="L286" s="103" t="s">
        <v>878</v>
      </c>
      <c r="M286" s="126">
        <v>31</v>
      </c>
      <c r="N286" s="4"/>
      <c r="O286" s="101">
        <f>U285+1</f>
        <v>18</v>
      </c>
      <c r="P286" s="125">
        <f t="shared" si="109"/>
        <v>19</v>
      </c>
      <c r="Q286" s="125">
        <f t="shared" si="109"/>
        <v>20</v>
      </c>
      <c r="R286" s="125">
        <f t="shared" si="109"/>
        <v>21</v>
      </c>
      <c r="S286" s="125">
        <f t="shared" si="109"/>
        <v>22</v>
      </c>
      <c r="T286" s="125">
        <f t="shared" si="108"/>
        <v>23</v>
      </c>
      <c r="U286" s="92">
        <f t="shared" si="108"/>
        <v>24</v>
      </c>
      <c r="W286" s="100">
        <v>34</v>
      </c>
      <c r="X286" s="103" t="s">
        <v>878</v>
      </c>
      <c r="Y286" s="106">
        <v>31</v>
      </c>
      <c r="Z286" s="4"/>
      <c r="AA286" s="101">
        <f>AG285+1</f>
        <v>15</v>
      </c>
      <c r="AB286" s="125">
        <f t="shared" si="110"/>
        <v>16</v>
      </c>
      <c r="AC286" s="125">
        <f t="shared" si="110"/>
        <v>17</v>
      </c>
      <c r="AD286" s="125">
        <f t="shared" si="110"/>
        <v>18</v>
      </c>
      <c r="AE286" s="125">
        <f t="shared" si="110"/>
        <v>19</v>
      </c>
      <c r="AF286" s="125">
        <f t="shared" si="110"/>
        <v>20</v>
      </c>
      <c r="AG286" s="92">
        <f t="shared" si="110"/>
        <v>21</v>
      </c>
      <c r="AI286" s="100">
        <v>38</v>
      </c>
      <c r="AJ286" s="103" t="s">
        <v>878</v>
      </c>
      <c r="AK286" s="106">
        <v>30</v>
      </c>
    </row>
    <row r="287" spans="1:37" x14ac:dyDescent="0.2">
      <c r="A287" s="14">
        <v>287</v>
      </c>
      <c r="C287" s="101">
        <f>I286+1</f>
        <v>28</v>
      </c>
      <c r="D287" s="134">
        <f>C287+1</f>
        <v>29</v>
      </c>
      <c r="E287" s="125">
        <f>D287+1</f>
        <v>30</v>
      </c>
      <c r="F287" s="125">
        <f>E287+1</f>
        <v>31</v>
      </c>
      <c r="G287" s="125"/>
      <c r="H287" s="125"/>
      <c r="I287" s="92"/>
      <c r="K287" s="122">
        <v>31</v>
      </c>
      <c r="L287" s="111"/>
      <c r="M287" s="127"/>
      <c r="N287" s="4"/>
      <c r="O287" s="101">
        <f>U286+1</f>
        <v>25</v>
      </c>
      <c r="P287" s="125">
        <f>O287+1</f>
        <v>26</v>
      </c>
      <c r="Q287" s="125">
        <f>P287+1</f>
        <v>27</v>
      </c>
      <c r="R287" s="125">
        <v>28</v>
      </c>
      <c r="S287" s="125">
        <v>29</v>
      </c>
      <c r="T287" s="125">
        <v>30</v>
      </c>
      <c r="U287" s="92">
        <v>31</v>
      </c>
      <c r="W287" s="100">
        <v>35</v>
      </c>
      <c r="X287" s="111"/>
      <c r="Y287" s="112"/>
      <c r="Z287" s="4"/>
      <c r="AA287" s="101">
        <f>AG286+1</f>
        <v>22</v>
      </c>
      <c r="AB287" s="125">
        <f>AA287+1</f>
        <v>23</v>
      </c>
      <c r="AC287" s="125">
        <f>AB287+1</f>
        <v>24</v>
      </c>
      <c r="AD287" s="125">
        <f>AC287+1</f>
        <v>25</v>
      </c>
      <c r="AE287" s="125">
        <f>AD287+1</f>
        <v>26</v>
      </c>
      <c r="AF287" s="125">
        <v>27</v>
      </c>
      <c r="AG287" s="92">
        <v>28</v>
      </c>
      <c r="AI287" s="100">
        <v>39</v>
      </c>
      <c r="AJ287" s="111"/>
      <c r="AK287" s="112"/>
    </row>
    <row r="288" spans="1:37" x14ac:dyDescent="0.2">
      <c r="A288" s="14">
        <v>288</v>
      </c>
      <c r="C288" s="101"/>
      <c r="D288" s="125"/>
      <c r="E288" s="401"/>
      <c r="F288" s="129"/>
      <c r="G288" s="129"/>
      <c r="H288" s="129"/>
      <c r="I288" s="114"/>
      <c r="K288" s="122"/>
      <c r="L288" s="111"/>
      <c r="M288" s="121"/>
      <c r="N288" s="4"/>
      <c r="O288" s="101"/>
      <c r="P288" s="125"/>
      <c r="Q288" s="125"/>
      <c r="R288" s="125"/>
      <c r="S288" s="125"/>
      <c r="T288" s="125"/>
      <c r="U288" s="92"/>
      <c r="W288" s="100"/>
      <c r="X288" s="111"/>
      <c r="Y288" s="4"/>
      <c r="Z288" s="4"/>
      <c r="AA288" s="101">
        <v>29</v>
      </c>
      <c r="AB288" s="125">
        <v>30</v>
      </c>
      <c r="AC288" s="129"/>
      <c r="AD288" s="129"/>
      <c r="AE288" s="129"/>
      <c r="AF288" s="129"/>
      <c r="AG288" s="114"/>
      <c r="AI288" s="413">
        <v>40</v>
      </c>
      <c r="AJ288" s="111"/>
      <c r="AK288" s="4"/>
    </row>
    <row r="289" spans="1:37" x14ac:dyDescent="0.2">
      <c r="A289" s="14">
        <v>289</v>
      </c>
      <c r="C289" s="88"/>
      <c r="D289" s="88"/>
      <c r="E289" s="88"/>
      <c r="F289" s="88"/>
      <c r="G289" s="88"/>
      <c r="H289" s="88"/>
      <c r="I289" s="88"/>
      <c r="K289" s="117"/>
      <c r="L289" s="111"/>
      <c r="M289" s="121"/>
      <c r="N289" s="4"/>
      <c r="O289" s="88"/>
      <c r="P289" s="88"/>
      <c r="Q289" s="88"/>
      <c r="R289" s="88"/>
      <c r="S289" s="88"/>
      <c r="T289" s="88"/>
      <c r="U289" s="88"/>
      <c r="W289" s="119"/>
      <c r="X289" s="111"/>
      <c r="Y289" s="4"/>
      <c r="Z289" s="4"/>
      <c r="AA289" s="4"/>
      <c r="AB289" s="4"/>
      <c r="AC289" s="4"/>
      <c r="AD289" s="4"/>
      <c r="AE289" s="4"/>
      <c r="AF289" s="4"/>
      <c r="AG289" s="4"/>
      <c r="AI289" s="120"/>
      <c r="AJ289" s="111"/>
      <c r="AK289" s="4"/>
    </row>
    <row r="290" spans="1:37" x14ac:dyDescent="0.2">
      <c r="A290" s="14">
        <v>290</v>
      </c>
      <c r="C290" s="404" t="s">
        <v>970</v>
      </c>
      <c r="D290" s="88"/>
      <c r="E290" s="88"/>
      <c r="F290" s="88"/>
      <c r="G290" s="88"/>
      <c r="H290" s="88"/>
      <c r="I290" s="88"/>
      <c r="K290" s="117"/>
      <c r="L290" s="111"/>
      <c r="M290" s="121"/>
      <c r="N290" s="4"/>
      <c r="O290" s="404" t="s">
        <v>971</v>
      </c>
      <c r="P290" s="88"/>
      <c r="Q290" s="88"/>
      <c r="R290" s="88"/>
      <c r="S290" s="88"/>
      <c r="T290" s="88"/>
      <c r="U290" s="88"/>
      <c r="W290" s="119"/>
      <c r="X290" s="111"/>
      <c r="Y290" s="4"/>
      <c r="Z290" s="4"/>
      <c r="AA290" s="404" t="s">
        <v>972</v>
      </c>
      <c r="AB290" s="88"/>
      <c r="AC290" s="88"/>
      <c r="AD290" s="88"/>
      <c r="AE290" s="88"/>
      <c r="AF290" s="88"/>
      <c r="AG290" s="88"/>
      <c r="AI290" s="120"/>
      <c r="AJ290" s="111"/>
      <c r="AK290" s="4"/>
    </row>
    <row r="291" spans="1:37" x14ac:dyDescent="0.2">
      <c r="A291" s="14">
        <v>291</v>
      </c>
      <c r="C291" s="55" t="s">
        <v>3</v>
      </c>
      <c r="D291" s="55" t="s">
        <v>177</v>
      </c>
      <c r="E291" s="55" t="s">
        <v>178</v>
      </c>
      <c r="F291" s="55" t="s">
        <v>178</v>
      </c>
      <c r="G291" s="55" t="s">
        <v>9</v>
      </c>
      <c r="H291" s="55" t="s">
        <v>857</v>
      </c>
      <c r="I291" s="55" t="s">
        <v>854</v>
      </c>
      <c r="K291" s="56" t="s">
        <v>877</v>
      </c>
      <c r="L291" s="111"/>
      <c r="M291" s="121"/>
      <c r="N291" s="4"/>
      <c r="O291" s="55" t="s">
        <v>3</v>
      </c>
      <c r="P291" s="55" t="s">
        <v>177</v>
      </c>
      <c r="Q291" s="55" t="s">
        <v>178</v>
      </c>
      <c r="R291" s="55" t="s">
        <v>178</v>
      </c>
      <c r="S291" s="55" t="s">
        <v>9</v>
      </c>
      <c r="T291" s="55" t="s">
        <v>857</v>
      </c>
      <c r="U291" s="55" t="s">
        <v>854</v>
      </c>
      <c r="W291" s="56" t="s">
        <v>877</v>
      </c>
      <c r="X291" s="111"/>
      <c r="Y291" s="4"/>
      <c r="Z291" s="4"/>
      <c r="AA291" s="55" t="s">
        <v>3</v>
      </c>
      <c r="AB291" s="55" t="s">
        <v>177</v>
      </c>
      <c r="AC291" s="55" t="s">
        <v>178</v>
      </c>
      <c r="AD291" s="55" t="s">
        <v>178</v>
      </c>
      <c r="AE291" s="55" t="s">
        <v>9</v>
      </c>
      <c r="AF291" s="55" t="s">
        <v>857</v>
      </c>
      <c r="AG291" s="55" t="s">
        <v>854</v>
      </c>
      <c r="AI291" s="56" t="s">
        <v>877</v>
      </c>
      <c r="AJ291" s="111"/>
      <c r="AK291" s="4"/>
    </row>
    <row r="292" spans="1:37" x14ac:dyDescent="0.2">
      <c r="A292" s="14">
        <v>292</v>
      </c>
      <c r="C292" s="58"/>
      <c r="D292" s="125"/>
      <c r="E292" s="125"/>
      <c r="F292" s="125"/>
      <c r="G292" s="125"/>
      <c r="H292" s="125"/>
      <c r="I292" s="92"/>
      <c r="K292" s="122"/>
      <c r="L292" s="94"/>
      <c r="M292" s="123"/>
      <c r="N292" s="4"/>
      <c r="O292" s="101"/>
      <c r="P292" s="125"/>
      <c r="Q292" s="125"/>
      <c r="R292" s="125"/>
      <c r="S292" s="125"/>
      <c r="T292" s="125">
        <v>1</v>
      </c>
      <c r="U292" s="92">
        <f>T292+1</f>
        <v>2</v>
      </c>
      <c r="W292" s="100">
        <v>44</v>
      </c>
      <c r="X292" s="94"/>
      <c r="Y292" s="49"/>
      <c r="Z292" s="4"/>
      <c r="AA292" s="58"/>
      <c r="AB292" s="125"/>
      <c r="AC292" s="125"/>
      <c r="AD292" s="125"/>
      <c r="AE292" s="125"/>
      <c r="AF292" s="125"/>
      <c r="AG292" s="92"/>
      <c r="AI292" s="100"/>
      <c r="AJ292" s="94"/>
      <c r="AK292" s="152"/>
    </row>
    <row r="293" spans="1:37" x14ac:dyDescent="0.2">
      <c r="A293" s="14">
        <v>293</v>
      </c>
      <c r="C293" s="101"/>
      <c r="D293" s="125"/>
      <c r="E293" s="125">
        <v>1</v>
      </c>
      <c r="F293" s="125">
        <f t="shared" ref="F293:I296" si="111">E293+1</f>
        <v>2</v>
      </c>
      <c r="G293" s="125">
        <f t="shared" si="111"/>
        <v>3</v>
      </c>
      <c r="H293" s="125">
        <f t="shared" si="111"/>
        <v>4</v>
      </c>
      <c r="I293" s="92">
        <f t="shared" si="111"/>
        <v>5</v>
      </c>
      <c r="K293" s="122">
        <v>40</v>
      </c>
      <c r="L293" s="103" t="s">
        <v>418</v>
      </c>
      <c r="M293" s="126">
        <v>4</v>
      </c>
      <c r="N293" s="4"/>
      <c r="O293" s="101">
        <f>U292+1</f>
        <v>3</v>
      </c>
      <c r="P293" s="125">
        <f t="shared" ref="P293:T295" si="112">O293+1</f>
        <v>4</v>
      </c>
      <c r="Q293" s="125">
        <f t="shared" si="112"/>
        <v>5</v>
      </c>
      <c r="R293" s="125">
        <f t="shared" si="112"/>
        <v>6</v>
      </c>
      <c r="S293" s="125">
        <f t="shared" si="112"/>
        <v>7</v>
      </c>
      <c r="T293" s="125">
        <f t="shared" si="112"/>
        <v>8</v>
      </c>
      <c r="U293" s="92">
        <f>T293+1</f>
        <v>9</v>
      </c>
      <c r="W293" s="100">
        <v>45</v>
      </c>
      <c r="X293" s="103" t="s">
        <v>418</v>
      </c>
      <c r="Y293" s="106">
        <v>4</v>
      </c>
      <c r="Z293" s="4"/>
      <c r="AA293" s="101">
        <v>1</v>
      </c>
      <c r="AB293" s="125">
        <f t="shared" ref="AB293:AG295" si="113">AA293+1</f>
        <v>2</v>
      </c>
      <c r="AC293" s="125">
        <f t="shared" si="113"/>
        <v>3</v>
      </c>
      <c r="AD293" s="125">
        <f t="shared" si="113"/>
        <v>4</v>
      </c>
      <c r="AE293" s="125">
        <f t="shared" si="113"/>
        <v>5</v>
      </c>
      <c r="AF293" s="125">
        <f t="shared" si="113"/>
        <v>6</v>
      </c>
      <c r="AG293" s="92">
        <f t="shared" si="113"/>
        <v>7</v>
      </c>
      <c r="AI293" s="100">
        <v>49</v>
      </c>
      <c r="AJ293" s="103" t="s">
        <v>418</v>
      </c>
      <c r="AK293" s="106">
        <v>5</v>
      </c>
    </row>
    <row r="294" spans="1:37" x14ac:dyDescent="0.2">
      <c r="A294" s="14">
        <v>294</v>
      </c>
      <c r="C294" s="101">
        <f>I293+1</f>
        <v>6</v>
      </c>
      <c r="D294" s="124">
        <f t="shared" ref="D294:E296" si="114">C294+1</f>
        <v>7</v>
      </c>
      <c r="E294" s="131">
        <f t="shared" si="114"/>
        <v>8</v>
      </c>
      <c r="F294" s="125">
        <f t="shared" si="111"/>
        <v>9</v>
      </c>
      <c r="G294" s="125">
        <f t="shared" si="111"/>
        <v>10</v>
      </c>
      <c r="H294" s="125">
        <f t="shared" si="111"/>
        <v>11</v>
      </c>
      <c r="I294" s="92">
        <f t="shared" si="111"/>
        <v>12</v>
      </c>
      <c r="K294" s="122">
        <v>41</v>
      </c>
      <c r="L294" s="103" t="s">
        <v>425</v>
      </c>
      <c r="M294" s="126">
        <v>4</v>
      </c>
      <c r="N294" s="4"/>
      <c r="O294" s="101">
        <f>U293+1</f>
        <v>10</v>
      </c>
      <c r="P294" s="125">
        <f t="shared" si="112"/>
        <v>11</v>
      </c>
      <c r="Q294" s="125">
        <f t="shared" si="112"/>
        <v>12</v>
      </c>
      <c r="R294" s="125">
        <f t="shared" si="112"/>
        <v>13</v>
      </c>
      <c r="S294" s="125">
        <f t="shared" si="112"/>
        <v>14</v>
      </c>
      <c r="T294" s="125">
        <f t="shared" si="112"/>
        <v>15</v>
      </c>
      <c r="U294" s="92">
        <f>T294+1</f>
        <v>16</v>
      </c>
      <c r="W294" s="100">
        <v>46</v>
      </c>
      <c r="X294" s="103" t="s">
        <v>425</v>
      </c>
      <c r="Y294" s="106">
        <v>5</v>
      </c>
      <c r="Z294" s="4"/>
      <c r="AA294" s="101">
        <f>AG293+1</f>
        <v>8</v>
      </c>
      <c r="AB294" s="125">
        <f t="shared" si="113"/>
        <v>9</v>
      </c>
      <c r="AC294" s="125">
        <f t="shared" si="113"/>
        <v>10</v>
      </c>
      <c r="AD294" s="125">
        <f t="shared" si="113"/>
        <v>11</v>
      </c>
      <c r="AE294" s="125">
        <f t="shared" si="113"/>
        <v>12</v>
      </c>
      <c r="AF294" s="125">
        <f t="shared" si="113"/>
        <v>13</v>
      </c>
      <c r="AG294" s="92">
        <f t="shared" si="113"/>
        <v>14</v>
      </c>
      <c r="AI294" s="100">
        <v>50</v>
      </c>
      <c r="AJ294" s="103" t="s">
        <v>425</v>
      </c>
      <c r="AK294" s="106">
        <v>4</v>
      </c>
    </row>
    <row r="295" spans="1:37" x14ac:dyDescent="0.2">
      <c r="A295" s="14">
        <v>295</v>
      </c>
      <c r="C295" s="101">
        <f>I294+1</f>
        <v>13</v>
      </c>
      <c r="D295" s="125">
        <f t="shared" si="114"/>
        <v>14</v>
      </c>
      <c r="E295" s="125">
        <f t="shared" si="114"/>
        <v>15</v>
      </c>
      <c r="F295" s="125">
        <f t="shared" si="111"/>
        <v>16</v>
      </c>
      <c r="G295" s="125">
        <f t="shared" si="111"/>
        <v>17</v>
      </c>
      <c r="H295" s="125">
        <f t="shared" si="111"/>
        <v>18</v>
      </c>
      <c r="I295" s="92">
        <f t="shared" si="111"/>
        <v>19</v>
      </c>
      <c r="K295" s="122">
        <v>42</v>
      </c>
      <c r="L295" s="103" t="s">
        <v>878</v>
      </c>
      <c r="M295" s="126">
        <v>31</v>
      </c>
      <c r="N295" s="4"/>
      <c r="O295" s="101">
        <f>U294+1</f>
        <v>17</v>
      </c>
      <c r="P295" s="125">
        <f t="shared" si="112"/>
        <v>18</v>
      </c>
      <c r="Q295" s="125">
        <f t="shared" si="112"/>
        <v>19</v>
      </c>
      <c r="R295" s="125">
        <f t="shared" si="112"/>
        <v>20</v>
      </c>
      <c r="S295" s="125">
        <f t="shared" si="112"/>
        <v>21</v>
      </c>
      <c r="T295" s="125">
        <f t="shared" si="112"/>
        <v>22</v>
      </c>
      <c r="U295" s="92">
        <f>T295+1</f>
        <v>23</v>
      </c>
      <c r="W295" s="100">
        <v>47</v>
      </c>
      <c r="X295" s="103" t="s">
        <v>878</v>
      </c>
      <c r="Y295" s="106">
        <v>30</v>
      </c>
      <c r="Z295" s="4"/>
      <c r="AA295" s="101">
        <f>AG294+1</f>
        <v>15</v>
      </c>
      <c r="AB295" s="125">
        <f t="shared" si="113"/>
        <v>16</v>
      </c>
      <c r="AC295" s="125">
        <f t="shared" si="113"/>
        <v>17</v>
      </c>
      <c r="AD295" s="125">
        <f t="shared" si="113"/>
        <v>18</v>
      </c>
      <c r="AE295" s="125">
        <f t="shared" si="113"/>
        <v>19</v>
      </c>
      <c r="AF295" s="124">
        <f t="shared" si="113"/>
        <v>20</v>
      </c>
      <c r="AG295" s="92">
        <f t="shared" si="113"/>
        <v>21</v>
      </c>
      <c r="AI295" s="100">
        <v>51</v>
      </c>
      <c r="AJ295" s="103" t="s">
        <v>878</v>
      </c>
      <c r="AK295" s="106">
        <v>31</v>
      </c>
    </row>
    <row r="296" spans="1:37" x14ac:dyDescent="0.2">
      <c r="A296" s="14">
        <v>296</v>
      </c>
      <c r="C296" s="101">
        <f>I295+1</f>
        <v>20</v>
      </c>
      <c r="D296" s="125">
        <f t="shared" si="114"/>
        <v>21</v>
      </c>
      <c r="E296" s="125">
        <f t="shared" si="114"/>
        <v>22</v>
      </c>
      <c r="F296" s="125">
        <f t="shared" si="111"/>
        <v>23</v>
      </c>
      <c r="G296" s="125">
        <f t="shared" si="111"/>
        <v>24</v>
      </c>
      <c r="H296" s="125">
        <f t="shared" si="111"/>
        <v>25</v>
      </c>
      <c r="I296" s="92">
        <f t="shared" si="111"/>
        <v>26</v>
      </c>
      <c r="K296" s="122">
        <v>43</v>
      </c>
      <c r="L296" s="4"/>
      <c r="M296" s="112"/>
      <c r="N296" s="4"/>
      <c r="O296" s="101">
        <f>U295+1</f>
        <v>24</v>
      </c>
      <c r="P296" s="125">
        <f>O296+1</f>
        <v>25</v>
      </c>
      <c r="Q296" s="125">
        <f>P296+1</f>
        <v>26</v>
      </c>
      <c r="R296" s="125">
        <v>27</v>
      </c>
      <c r="S296" s="125">
        <v>28</v>
      </c>
      <c r="T296" s="125">
        <v>29</v>
      </c>
      <c r="U296" s="92">
        <v>30</v>
      </c>
      <c r="W296" s="100">
        <v>48</v>
      </c>
      <c r="X296" s="111"/>
      <c r="Y296" s="112"/>
      <c r="Z296" s="4"/>
      <c r="AA296" s="101">
        <f>AG295+1</f>
        <v>22</v>
      </c>
      <c r="AB296" s="125">
        <f>AA296+1</f>
        <v>23</v>
      </c>
      <c r="AC296" s="125">
        <f>AB296+1</f>
        <v>24</v>
      </c>
      <c r="AD296" s="125">
        <f>AC296+1</f>
        <v>25</v>
      </c>
      <c r="AE296" s="125">
        <f>AD296+1</f>
        <v>26</v>
      </c>
      <c r="AF296" s="125">
        <f>AE296+1</f>
        <v>27</v>
      </c>
      <c r="AG296" s="92">
        <v>28</v>
      </c>
      <c r="AI296" s="100">
        <v>52</v>
      </c>
      <c r="AJ296" s="111"/>
      <c r="AK296" s="4"/>
    </row>
    <row r="297" spans="1:37" x14ac:dyDescent="0.2">
      <c r="A297" s="14">
        <v>297</v>
      </c>
      <c r="C297" s="101">
        <f>I296+1</f>
        <v>27</v>
      </c>
      <c r="D297" s="125">
        <v>28</v>
      </c>
      <c r="E297" s="125">
        <v>29</v>
      </c>
      <c r="F297" s="401">
        <v>30</v>
      </c>
      <c r="G297" s="129">
        <v>31</v>
      </c>
      <c r="H297" s="129"/>
      <c r="I297" s="114"/>
      <c r="K297" s="122">
        <v>44</v>
      </c>
      <c r="L297" s="4"/>
      <c r="M297" s="4"/>
      <c r="N297" s="4"/>
      <c r="O297" s="101"/>
      <c r="P297" s="125"/>
      <c r="Q297" s="129"/>
      <c r="R297" s="129"/>
      <c r="S297" s="129"/>
      <c r="T297" s="129"/>
      <c r="U297" s="114"/>
      <c r="V297" s="133"/>
      <c r="W297" s="100"/>
      <c r="X297" s="4"/>
      <c r="Y297" s="4"/>
      <c r="Z297" s="4"/>
      <c r="AA297" s="101">
        <v>29</v>
      </c>
      <c r="AB297" s="125">
        <v>30</v>
      </c>
      <c r="AC297" s="129">
        <v>31</v>
      </c>
      <c r="AD297" s="129"/>
      <c r="AE297" s="129"/>
      <c r="AF297" s="129"/>
      <c r="AG297" s="114"/>
      <c r="AI297" s="116"/>
      <c r="AJ297" s="4"/>
      <c r="AK297" s="4"/>
    </row>
    <row r="298" spans="1:37" x14ac:dyDescent="0.2">
      <c r="A298" s="14">
        <v>298</v>
      </c>
      <c r="C298" s="88"/>
      <c r="D298" s="88"/>
      <c r="E298" s="88"/>
      <c r="F298" s="88"/>
      <c r="G298" s="88"/>
      <c r="H298" s="88"/>
      <c r="I298" s="88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88"/>
      <c r="AB298" s="88"/>
      <c r="AC298" s="88"/>
      <c r="AD298" s="88"/>
      <c r="AE298" s="88"/>
      <c r="AF298" s="88"/>
      <c r="AG298" s="88"/>
      <c r="AH298" s="4"/>
      <c r="AI298" s="4"/>
      <c r="AJ298" s="4"/>
      <c r="AK298" s="4"/>
    </row>
    <row r="299" spans="1:37" ht="12.75" x14ac:dyDescent="0.2">
      <c r="A299" s="14">
        <v>299</v>
      </c>
      <c r="C299" s="157"/>
      <c r="D299" s="141"/>
      <c r="E299" s="141"/>
      <c r="F299" s="141"/>
      <c r="G299" s="141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1"/>
      <c r="S299" s="140"/>
      <c r="T299" s="140"/>
      <c r="U299" s="140"/>
      <c r="V299" s="140"/>
      <c r="W299" s="140"/>
      <c r="X299" s="142" t="s">
        <v>960</v>
      </c>
      <c r="Y299" s="141"/>
      <c r="Z299" s="4"/>
      <c r="AA299" s="88"/>
      <c r="AB299" s="88"/>
      <c r="AC299" s="88"/>
      <c r="AD299" s="88"/>
      <c r="AH299" s="153" t="s">
        <v>888</v>
      </c>
      <c r="AI299" s="144">
        <f>(M266+Y266+AK266+M275+Y275+AK275+M284+Y284+AK284+M293+Y293+AK293)</f>
        <v>51</v>
      </c>
    </row>
    <row r="300" spans="1:37" x14ac:dyDescent="0.2">
      <c r="A300" s="14">
        <v>300</v>
      </c>
      <c r="Z300" s="4"/>
      <c r="AA300" s="88"/>
      <c r="AB300" s="88"/>
      <c r="AC300" s="88"/>
      <c r="AH300" s="153" t="s">
        <v>889</v>
      </c>
      <c r="AI300" s="145">
        <f>(M267+Y267+AK267+M276+Y276+AK276+M285+Y285+AK285+M294+Y294+AK294)</f>
        <v>52</v>
      </c>
    </row>
    <row r="301" spans="1:37" x14ac:dyDescent="0.2">
      <c r="A301" s="14">
        <v>301</v>
      </c>
      <c r="C301" s="135"/>
      <c r="H301" s="4"/>
      <c r="I301" s="4"/>
      <c r="J301" s="4"/>
      <c r="K301" s="4"/>
      <c r="L301" s="4"/>
      <c r="M301" s="4"/>
      <c r="N301" s="4"/>
      <c r="O301" s="4"/>
      <c r="P301" s="4"/>
      <c r="Q301" s="4"/>
      <c r="S301" s="4"/>
      <c r="T301" s="4"/>
      <c r="U301" s="4"/>
      <c r="V301" s="4"/>
      <c r="W301" s="4"/>
      <c r="Z301" s="4"/>
      <c r="AA301" s="88"/>
      <c r="AB301" s="88"/>
      <c r="AC301" s="88"/>
      <c r="AD301" s="88"/>
      <c r="AH301" s="153" t="s">
        <v>890</v>
      </c>
      <c r="AI301" s="154">
        <f>(M268+Y268+AK268+M277+Y277+AK277+M286+Y286+AK286+M295+Y295+AK295)</f>
        <v>365</v>
      </c>
      <c r="AJ301" s="147" t="str">
        <f>IF(AI301&gt;365,"BISIESTO","NORMAL")</f>
        <v>NORMAL</v>
      </c>
    </row>
    <row r="302" spans="1:37" x14ac:dyDescent="0.2">
      <c r="A302" s="14">
        <v>302</v>
      </c>
      <c r="C302" s="135"/>
      <c r="H302" s="4"/>
      <c r="I302" s="4"/>
      <c r="J302" s="4"/>
      <c r="K302" s="4"/>
      <c r="L302" s="4"/>
      <c r="M302" s="4"/>
      <c r="N302" s="4"/>
      <c r="O302" s="4"/>
      <c r="P302" s="4"/>
      <c r="Q302" s="4"/>
      <c r="S302" s="4"/>
      <c r="T302" s="4"/>
      <c r="U302" s="4"/>
      <c r="V302" s="4"/>
      <c r="W302" s="4"/>
      <c r="Z302" s="4"/>
      <c r="AA302" s="88"/>
      <c r="AB302" s="88"/>
      <c r="AC302" s="88"/>
      <c r="AD302" s="88"/>
      <c r="AH302" s="153" t="s">
        <v>892</v>
      </c>
      <c r="AI302" s="149">
        <v>52</v>
      </c>
    </row>
    <row r="303" spans="1:37" x14ac:dyDescent="0.2">
      <c r="A303" s="14">
        <v>303</v>
      </c>
      <c r="C303" s="135"/>
      <c r="H303" s="4"/>
      <c r="I303" s="4"/>
      <c r="J303" s="4"/>
      <c r="K303" s="4"/>
      <c r="L303" s="4"/>
      <c r="M303" s="4"/>
      <c r="N303" s="4"/>
      <c r="O303" s="4"/>
      <c r="P303" s="4"/>
      <c r="Q303" s="4"/>
      <c r="S303" s="4"/>
      <c r="T303" s="4"/>
      <c r="U303" s="4"/>
      <c r="V303" s="4"/>
      <c r="W303" s="4"/>
      <c r="Z303" s="4"/>
      <c r="AA303" s="88"/>
      <c r="AB303" s="88"/>
      <c r="AC303" s="88"/>
      <c r="AD303" s="88"/>
      <c r="AG303" s="136"/>
      <c r="AH303" s="463"/>
      <c r="AI303" s="464"/>
      <c r="AJ303" s="136"/>
    </row>
    <row r="304" spans="1:37" ht="12.75" x14ac:dyDescent="0.2">
      <c r="A304" s="14">
        <v>304</v>
      </c>
      <c r="C304" s="85" t="s">
        <v>973</v>
      </c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</row>
    <row r="305" spans="1:37" x14ac:dyDescent="0.2">
      <c r="A305" s="14">
        <v>305</v>
      </c>
    </row>
    <row r="306" spans="1:37" x14ac:dyDescent="0.2">
      <c r="A306" s="14">
        <v>306</v>
      </c>
      <c r="C306" s="404" t="s">
        <v>974</v>
      </c>
      <c r="D306" s="88"/>
      <c r="E306" s="88"/>
      <c r="F306" s="88"/>
      <c r="G306" s="88"/>
      <c r="H306" s="88"/>
      <c r="I306" s="88"/>
      <c r="J306" s="4"/>
      <c r="K306" s="4"/>
      <c r="L306" s="89"/>
      <c r="M306" s="90"/>
      <c r="N306" s="4"/>
      <c r="O306" s="404" t="s">
        <v>975</v>
      </c>
      <c r="P306" s="88"/>
      <c r="Q306" s="88"/>
      <c r="R306" s="88"/>
      <c r="S306" s="88"/>
      <c r="T306" s="88"/>
      <c r="U306" s="88"/>
      <c r="V306" s="4"/>
      <c r="W306" s="4"/>
      <c r="X306" s="4"/>
      <c r="Y306" s="4"/>
      <c r="Z306" s="4"/>
      <c r="AA306" s="404" t="s">
        <v>976</v>
      </c>
      <c r="AB306" s="88"/>
      <c r="AC306" s="88"/>
      <c r="AD306" s="88"/>
      <c r="AE306" s="88"/>
      <c r="AF306" s="88"/>
      <c r="AG306" s="88"/>
      <c r="AH306" s="4"/>
      <c r="AI306" s="4"/>
      <c r="AJ306" s="4"/>
      <c r="AK306" s="4"/>
    </row>
    <row r="307" spans="1:37" x14ac:dyDescent="0.2">
      <c r="A307" s="14">
        <v>307</v>
      </c>
      <c r="C307" s="55" t="s">
        <v>3</v>
      </c>
      <c r="D307" s="55" t="s">
        <v>177</v>
      </c>
      <c r="E307" s="55" t="s">
        <v>178</v>
      </c>
      <c r="F307" s="55" t="s">
        <v>178</v>
      </c>
      <c r="G307" s="55" t="s">
        <v>9</v>
      </c>
      <c r="H307" s="55" t="s">
        <v>857</v>
      </c>
      <c r="I307" s="55" t="s">
        <v>854</v>
      </c>
      <c r="K307" s="56" t="s">
        <v>877</v>
      </c>
      <c r="L307" s="4"/>
      <c r="M307" s="4"/>
      <c r="N307" s="4"/>
      <c r="O307" s="55" t="s">
        <v>3</v>
      </c>
      <c r="P307" s="55" t="s">
        <v>177</v>
      </c>
      <c r="Q307" s="55" t="s">
        <v>178</v>
      </c>
      <c r="R307" s="55" t="s">
        <v>178</v>
      </c>
      <c r="S307" s="55" t="s">
        <v>9</v>
      </c>
      <c r="T307" s="55" t="s">
        <v>857</v>
      </c>
      <c r="U307" s="55" t="s">
        <v>854</v>
      </c>
      <c r="W307" s="56" t="s">
        <v>877</v>
      </c>
      <c r="X307" s="4"/>
      <c r="Y307" s="57"/>
      <c r="Z307" s="4"/>
      <c r="AA307" s="55" t="s">
        <v>3</v>
      </c>
      <c r="AB307" s="55" t="s">
        <v>177</v>
      </c>
      <c r="AC307" s="55" t="s">
        <v>178</v>
      </c>
      <c r="AD307" s="55" t="s">
        <v>178</v>
      </c>
      <c r="AE307" s="55" t="s">
        <v>9</v>
      </c>
      <c r="AF307" s="55" t="s">
        <v>857</v>
      </c>
      <c r="AG307" s="55" t="s">
        <v>854</v>
      </c>
      <c r="AI307" s="56" t="s">
        <v>877</v>
      </c>
      <c r="AJ307" s="4"/>
      <c r="AK307" s="4"/>
    </row>
    <row r="308" spans="1:37" x14ac:dyDescent="0.2">
      <c r="A308" s="14">
        <v>308</v>
      </c>
      <c r="C308" s="58"/>
      <c r="D308" s="91"/>
      <c r="E308" s="156"/>
      <c r="F308" s="156">
        <v>1</v>
      </c>
      <c r="G308" s="91">
        <f t="shared" ref="G308:H312" si="115">F308+1</f>
        <v>2</v>
      </c>
      <c r="H308" s="91">
        <f t="shared" ref="H308:I311" si="116">G308+1</f>
        <v>3</v>
      </c>
      <c r="I308" s="405">
        <f t="shared" si="116"/>
        <v>4</v>
      </c>
      <c r="K308" s="93">
        <v>1</v>
      </c>
      <c r="L308" s="94"/>
      <c r="M308" s="95"/>
      <c r="N308" s="96"/>
      <c r="O308" s="101"/>
      <c r="P308" s="91"/>
      <c r="Q308" s="91"/>
      <c r="R308" s="91"/>
      <c r="S308" s="91"/>
      <c r="T308" s="91"/>
      <c r="U308" s="92">
        <v>1</v>
      </c>
      <c r="W308" s="98">
        <v>5</v>
      </c>
      <c r="X308" s="94"/>
      <c r="Y308" s="99"/>
      <c r="Z308" s="96"/>
      <c r="AA308" s="101"/>
      <c r="AB308" s="91"/>
      <c r="AC308" s="91"/>
      <c r="AD308" s="91"/>
      <c r="AE308" s="91"/>
      <c r="AF308" s="91" t="s">
        <v>185</v>
      </c>
      <c r="AG308" s="92">
        <v>1</v>
      </c>
      <c r="AI308" s="100">
        <v>9</v>
      </c>
      <c r="AJ308" s="94"/>
      <c r="AK308" s="49"/>
    </row>
    <row r="309" spans="1:37" x14ac:dyDescent="0.2">
      <c r="A309" s="14">
        <v>309</v>
      </c>
      <c r="C309" s="101">
        <f>I308+1</f>
        <v>5</v>
      </c>
      <c r="D309" s="91">
        <f t="shared" ref="D309:F312" si="117">C309+1</f>
        <v>6</v>
      </c>
      <c r="E309" s="91">
        <f t="shared" si="117"/>
        <v>7</v>
      </c>
      <c r="F309" s="91">
        <f t="shared" si="117"/>
        <v>8</v>
      </c>
      <c r="G309" s="91">
        <f t="shared" si="115"/>
        <v>9</v>
      </c>
      <c r="H309" s="91">
        <f t="shared" si="116"/>
        <v>10</v>
      </c>
      <c r="I309" s="92">
        <f t="shared" si="116"/>
        <v>11</v>
      </c>
      <c r="K309" s="93">
        <v>2</v>
      </c>
      <c r="L309" s="103" t="s">
        <v>418</v>
      </c>
      <c r="M309" s="104">
        <v>4</v>
      </c>
      <c r="N309" s="96"/>
      <c r="O309" s="101">
        <f>U308+1</f>
        <v>2</v>
      </c>
      <c r="P309" s="91">
        <f t="shared" ref="P309:U311" si="118">O309+1</f>
        <v>3</v>
      </c>
      <c r="Q309" s="91">
        <f t="shared" si="118"/>
        <v>4</v>
      </c>
      <c r="R309" s="91">
        <f t="shared" si="118"/>
        <v>5</v>
      </c>
      <c r="S309" s="91">
        <f t="shared" si="118"/>
        <v>6</v>
      </c>
      <c r="T309" s="91">
        <f t="shared" si="118"/>
        <v>7</v>
      </c>
      <c r="U309" s="92">
        <f t="shared" si="118"/>
        <v>8</v>
      </c>
      <c r="W309" s="98">
        <v>6</v>
      </c>
      <c r="X309" s="103" t="s">
        <v>418</v>
      </c>
      <c r="Y309" s="105">
        <v>4</v>
      </c>
      <c r="Z309" s="96"/>
      <c r="AA309" s="101">
        <f>AG308+1</f>
        <v>2</v>
      </c>
      <c r="AB309" s="91">
        <f t="shared" ref="AB309:AG311" si="119">AA309+1</f>
        <v>3</v>
      </c>
      <c r="AC309" s="91">
        <f t="shared" si="119"/>
        <v>4</v>
      </c>
      <c r="AD309" s="91">
        <f t="shared" si="119"/>
        <v>5</v>
      </c>
      <c r="AE309" s="91">
        <f t="shared" si="119"/>
        <v>6</v>
      </c>
      <c r="AF309" s="91">
        <f t="shared" si="119"/>
        <v>7</v>
      </c>
      <c r="AG309" s="92">
        <f t="shared" si="119"/>
        <v>8</v>
      </c>
      <c r="AI309" s="100">
        <v>10</v>
      </c>
      <c r="AJ309" s="103" t="s">
        <v>418</v>
      </c>
      <c r="AK309" s="106">
        <v>5</v>
      </c>
    </row>
    <row r="310" spans="1:37" x14ac:dyDescent="0.2">
      <c r="A310" s="14">
        <v>310</v>
      </c>
      <c r="C310" s="101">
        <f>I309+1</f>
        <v>12</v>
      </c>
      <c r="D310" s="91">
        <f t="shared" si="117"/>
        <v>13</v>
      </c>
      <c r="E310" s="91">
        <f t="shared" si="117"/>
        <v>14</v>
      </c>
      <c r="F310" s="91">
        <f t="shared" si="117"/>
        <v>15</v>
      </c>
      <c r="G310" s="91">
        <f t="shared" si="115"/>
        <v>16</v>
      </c>
      <c r="H310" s="91">
        <f t="shared" si="116"/>
        <v>17</v>
      </c>
      <c r="I310" s="92">
        <f t="shared" si="116"/>
        <v>18</v>
      </c>
      <c r="K310" s="93">
        <v>3</v>
      </c>
      <c r="L310" s="103" t="s">
        <v>425</v>
      </c>
      <c r="M310" s="104">
        <v>4</v>
      </c>
      <c r="N310" s="96"/>
      <c r="O310" s="101">
        <f>U309+1</f>
        <v>9</v>
      </c>
      <c r="P310" s="91">
        <f t="shared" si="118"/>
        <v>10</v>
      </c>
      <c r="Q310" s="91">
        <f t="shared" si="118"/>
        <v>11</v>
      </c>
      <c r="R310" s="91">
        <f t="shared" si="118"/>
        <v>12</v>
      </c>
      <c r="S310" s="91">
        <f t="shared" si="118"/>
        <v>13</v>
      </c>
      <c r="T310" s="91">
        <f t="shared" si="118"/>
        <v>14</v>
      </c>
      <c r="U310" s="92">
        <f t="shared" si="118"/>
        <v>15</v>
      </c>
      <c r="W310" s="98">
        <v>7</v>
      </c>
      <c r="X310" s="103" t="s">
        <v>425</v>
      </c>
      <c r="Y310" s="105">
        <v>4</v>
      </c>
      <c r="Z310" s="96"/>
      <c r="AA310" s="101">
        <f>AG309+1</f>
        <v>9</v>
      </c>
      <c r="AB310" s="91">
        <f t="shared" si="119"/>
        <v>10</v>
      </c>
      <c r="AC310" s="91">
        <f t="shared" si="119"/>
        <v>11</v>
      </c>
      <c r="AD310" s="91">
        <f t="shared" si="119"/>
        <v>12</v>
      </c>
      <c r="AE310" s="91">
        <f t="shared" si="119"/>
        <v>13</v>
      </c>
      <c r="AF310" s="91">
        <f t="shared" si="119"/>
        <v>14</v>
      </c>
      <c r="AG310" s="92">
        <f t="shared" si="119"/>
        <v>15</v>
      </c>
      <c r="AI310" s="100">
        <v>11</v>
      </c>
      <c r="AJ310" s="103" t="s">
        <v>425</v>
      </c>
      <c r="AK310" s="106">
        <v>5</v>
      </c>
    </row>
    <row r="311" spans="1:37" x14ac:dyDescent="0.2">
      <c r="A311" s="14">
        <v>311</v>
      </c>
      <c r="C311" s="101">
        <f>I310+1</f>
        <v>19</v>
      </c>
      <c r="D311" s="91">
        <f t="shared" si="117"/>
        <v>20</v>
      </c>
      <c r="E311" s="91">
        <f t="shared" si="117"/>
        <v>21</v>
      </c>
      <c r="F311" s="91">
        <f t="shared" si="117"/>
        <v>22</v>
      </c>
      <c r="G311" s="91">
        <f t="shared" si="115"/>
        <v>23</v>
      </c>
      <c r="H311" s="91">
        <f t="shared" si="116"/>
        <v>24</v>
      </c>
      <c r="I311" s="92">
        <f t="shared" si="116"/>
        <v>25</v>
      </c>
      <c r="K311" s="93">
        <v>4</v>
      </c>
      <c r="L311" s="103" t="s">
        <v>878</v>
      </c>
      <c r="M311" s="104">
        <v>31</v>
      </c>
      <c r="N311" s="96"/>
      <c r="O311" s="101">
        <f>U310+1</f>
        <v>16</v>
      </c>
      <c r="P311" s="91">
        <f t="shared" si="118"/>
        <v>17</v>
      </c>
      <c r="Q311" s="91">
        <f t="shared" si="118"/>
        <v>18</v>
      </c>
      <c r="R311" s="91">
        <f t="shared" si="118"/>
        <v>19</v>
      </c>
      <c r="S311" s="91">
        <f t="shared" si="118"/>
        <v>20</v>
      </c>
      <c r="T311" s="91">
        <f t="shared" si="118"/>
        <v>21</v>
      </c>
      <c r="U311" s="92">
        <f t="shared" si="118"/>
        <v>22</v>
      </c>
      <c r="W311" s="98">
        <v>8</v>
      </c>
      <c r="X311" s="103" t="s">
        <v>878</v>
      </c>
      <c r="Y311" s="105">
        <v>28</v>
      </c>
      <c r="Z311" s="96"/>
      <c r="AA311" s="101">
        <f>AG310+1</f>
        <v>16</v>
      </c>
      <c r="AB311" s="91">
        <f t="shared" si="119"/>
        <v>17</v>
      </c>
      <c r="AC311" s="91">
        <f t="shared" si="119"/>
        <v>18</v>
      </c>
      <c r="AD311" s="91">
        <f t="shared" si="119"/>
        <v>19</v>
      </c>
      <c r="AE311" s="124">
        <f t="shared" si="119"/>
        <v>20</v>
      </c>
      <c r="AF311" s="131">
        <f t="shared" si="119"/>
        <v>21</v>
      </c>
      <c r="AG311" s="92">
        <f t="shared" si="119"/>
        <v>22</v>
      </c>
      <c r="AI311" s="100">
        <v>12</v>
      </c>
      <c r="AJ311" s="103" t="s">
        <v>878</v>
      </c>
      <c r="AK311" s="106">
        <v>31</v>
      </c>
    </row>
    <row r="312" spans="1:37" x14ac:dyDescent="0.2">
      <c r="A312" s="14">
        <v>312</v>
      </c>
      <c r="C312" s="101">
        <f>I311+1</f>
        <v>26</v>
      </c>
      <c r="D312" s="91">
        <f t="shared" si="117"/>
        <v>27</v>
      </c>
      <c r="E312" s="91">
        <f t="shared" si="117"/>
        <v>28</v>
      </c>
      <c r="F312" s="91">
        <f t="shared" si="117"/>
        <v>29</v>
      </c>
      <c r="G312" s="91">
        <f t="shared" si="115"/>
        <v>30</v>
      </c>
      <c r="H312" s="91">
        <f t="shared" si="115"/>
        <v>31</v>
      </c>
      <c r="I312" s="92"/>
      <c r="K312" s="93">
        <v>5</v>
      </c>
      <c r="L312" s="107"/>
      <c r="M312" s="108"/>
      <c r="N312" s="96"/>
      <c r="O312" s="101">
        <f>U311+1</f>
        <v>23</v>
      </c>
      <c r="P312" s="91">
        <f>O312+1</f>
        <v>24</v>
      </c>
      <c r="Q312" s="91">
        <f>P312+1</f>
        <v>25</v>
      </c>
      <c r="R312" s="91">
        <f>Q312+1</f>
        <v>26</v>
      </c>
      <c r="S312" s="91">
        <f>R312+1</f>
        <v>27</v>
      </c>
      <c r="T312" s="91">
        <f>S312+1</f>
        <v>28</v>
      </c>
      <c r="U312" s="92"/>
      <c r="W312" s="98">
        <v>9</v>
      </c>
      <c r="X312" s="107"/>
      <c r="Y312" s="109"/>
      <c r="Z312" s="96"/>
      <c r="AA312" s="101">
        <f>AG311+1</f>
        <v>23</v>
      </c>
      <c r="AB312" s="91">
        <f t="shared" ref="AB312:AG312" si="120">AA312+1</f>
        <v>24</v>
      </c>
      <c r="AC312" s="91">
        <f t="shared" si="120"/>
        <v>25</v>
      </c>
      <c r="AD312" s="134">
        <f t="shared" si="120"/>
        <v>26</v>
      </c>
      <c r="AE312" s="91">
        <f t="shared" si="120"/>
        <v>27</v>
      </c>
      <c r="AF312" s="91">
        <f t="shared" si="120"/>
        <v>28</v>
      </c>
      <c r="AG312" s="92">
        <f t="shared" si="120"/>
        <v>29</v>
      </c>
      <c r="AI312" s="100">
        <v>13</v>
      </c>
      <c r="AJ312" s="111"/>
      <c r="AK312" s="112"/>
    </row>
    <row r="313" spans="1:37" x14ac:dyDescent="0.2">
      <c r="A313" s="14">
        <v>313</v>
      </c>
      <c r="C313" s="101"/>
      <c r="D313" s="91"/>
      <c r="E313" s="91"/>
      <c r="F313" s="113"/>
      <c r="G313" s="113"/>
      <c r="H313" s="113"/>
      <c r="I313" s="114"/>
      <c r="K313" s="93"/>
      <c r="L313" s="107"/>
      <c r="M313" s="115"/>
      <c r="N313" s="96"/>
      <c r="O313" s="101"/>
      <c r="P313" s="91"/>
      <c r="Q313" s="113"/>
      <c r="R313" s="113"/>
      <c r="S313" s="113"/>
      <c r="T313" s="113"/>
      <c r="U313" s="114"/>
      <c r="W313" s="98"/>
      <c r="X313" s="107"/>
      <c r="Y313" s="96"/>
      <c r="Z313" s="96"/>
      <c r="AA313" s="101">
        <f>AG312+1</f>
        <v>30</v>
      </c>
      <c r="AB313" s="91">
        <f>AA313+1</f>
        <v>31</v>
      </c>
      <c r="AC313" s="113"/>
      <c r="AD313" s="113"/>
      <c r="AE313" s="113"/>
      <c r="AF313" s="113"/>
      <c r="AG313" s="114"/>
      <c r="AI313" s="100">
        <v>14</v>
      </c>
      <c r="AJ313" s="111"/>
      <c r="AK313" s="4"/>
    </row>
    <row r="314" spans="1:37" x14ac:dyDescent="0.2">
      <c r="A314" s="14">
        <v>314</v>
      </c>
      <c r="C314" s="88"/>
      <c r="D314" s="88"/>
      <c r="E314" s="88"/>
      <c r="F314" s="88"/>
      <c r="G314" s="88"/>
      <c r="H314" s="88"/>
      <c r="I314" s="88"/>
      <c r="K314" s="117"/>
      <c r="L314" s="111"/>
      <c r="M314" s="118"/>
      <c r="N314" s="4"/>
      <c r="O314" s="4"/>
      <c r="P314" s="4"/>
      <c r="Q314" s="4"/>
      <c r="R314" s="4"/>
      <c r="S314" s="4"/>
      <c r="T314" s="4"/>
      <c r="U314" s="4"/>
      <c r="W314" s="119"/>
      <c r="X314" s="111"/>
      <c r="Y314" s="4"/>
      <c r="Z314" s="4"/>
      <c r="AA314" s="4"/>
      <c r="AB314" s="4"/>
      <c r="AC314" s="4"/>
      <c r="AD314" s="4"/>
      <c r="AE314" s="4"/>
      <c r="AF314" s="4"/>
      <c r="AG314" s="4"/>
      <c r="AI314" s="120"/>
      <c r="AJ314" s="111"/>
      <c r="AK314" s="4"/>
    </row>
    <row r="315" spans="1:37" x14ac:dyDescent="0.2">
      <c r="A315" s="14">
        <v>315</v>
      </c>
      <c r="C315" s="404" t="s">
        <v>977</v>
      </c>
      <c r="D315" s="88"/>
      <c r="E315" s="88"/>
      <c r="F315" s="88"/>
      <c r="G315" s="88"/>
      <c r="H315" s="88"/>
      <c r="I315" s="88"/>
      <c r="K315" s="117"/>
      <c r="L315" s="111"/>
      <c r="M315" s="121"/>
      <c r="N315" s="4"/>
      <c r="O315" s="404" t="s">
        <v>978</v>
      </c>
      <c r="P315" s="88"/>
      <c r="Q315" s="88"/>
      <c r="R315" s="88"/>
      <c r="S315" s="88"/>
      <c r="T315" s="88"/>
      <c r="U315" s="88"/>
      <c r="W315" s="119"/>
      <c r="X315" s="111"/>
      <c r="Y315" s="4"/>
      <c r="Z315" s="4"/>
      <c r="AA315" s="404" t="s">
        <v>979</v>
      </c>
      <c r="AB315" s="88"/>
      <c r="AC315" s="88"/>
      <c r="AD315" s="88"/>
      <c r="AE315" s="88"/>
      <c r="AF315" s="88"/>
      <c r="AG315" s="88"/>
      <c r="AI315" s="120"/>
      <c r="AJ315" s="111"/>
      <c r="AK315" s="4"/>
    </row>
    <row r="316" spans="1:37" x14ac:dyDescent="0.2">
      <c r="A316" s="14">
        <v>316</v>
      </c>
      <c r="C316" s="55" t="s">
        <v>3</v>
      </c>
      <c r="D316" s="55" t="s">
        <v>177</v>
      </c>
      <c r="E316" s="55" t="s">
        <v>178</v>
      </c>
      <c r="F316" s="55" t="s">
        <v>178</v>
      </c>
      <c r="G316" s="55" t="s">
        <v>9</v>
      </c>
      <c r="H316" s="55" t="s">
        <v>857</v>
      </c>
      <c r="I316" s="55" t="s">
        <v>854</v>
      </c>
      <c r="K316" s="56" t="s">
        <v>877</v>
      </c>
      <c r="L316" s="111"/>
      <c r="M316" s="121"/>
      <c r="N316" s="4"/>
      <c r="O316" s="55" t="s">
        <v>3</v>
      </c>
      <c r="P316" s="55" t="s">
        <v>177</v>
      </c>
      <c r="Q316" s="55" t="s">
        <v>178</v>
      </c>
      <c r="R316" s="55" t="s">
        <v>178</v>
      </c>
      <c r="S316" s="55" t="s">
        <v>9</v>
      </c>
      <c r="T316" s="55" t="s">
        <v>857</v>
      </c>
      <c r="U316" s="55" t="s">
        <v>854</v>
      </c>
      <c r="W316" s="56" t="s">
        <v>877</v>
      </c>
      <c r="X316" s="111"/>
      <c r="Y316" s="4"/>
      <c r="Z316" s="4"/>
      <c r="AA316" s="55" t="s">
        <v>3</v>
      </c>
      <c r="AB316" s="55" t="s">
        <v>177</v>
      </c>
      <c r="AC316" s="55" t="s">
        <v>178</v>
      </c>
      <c r="AD316" s="55" t="s">
        <v>178</v>
      </c>
      <c r="AE316" s="55" t="s">
        <v>9</v>
      </c>
      <c r="AF316" s="55" t="s">
        <v>857</v>
      </c>
      <c r="AG316" s="55" t="s">
        <v>854</v>
      </c>
      <c r="AI316" s="56" t="s">
        <v>877</v>
      </c>
      <c r="AJ316" s="111"/>
      <c r="AK316" s="4"/>
    </row>
    <row r="317" spans="1:37" x14ac:dyDescent="0.2">
      <c r="A317" s="14">
        <v>317</v>
      </c>
      <c r="C317" s="58"/>
      <c r="D317" s="91" t="s">
        <v>185</v>
      </c>
      <c r="E317" s="91">
        <v>1</v>
      </c>
      <c r="F317" s="91">
        <f t="shared" ref="F317:I320" si="121">E317+1</f>
        <v>2</v>
      </c>
      <c r="G317" s="91">
        <f t="shared" si="121"/>
        <v>3</v>
      </c>
      <c r="H317" s="91">
        <f t="shared" si="121"/>
        <v>4</v>
      </c>
      <c r="I317" s="92">
        <f t="shared" si="121"/>
        <v>5</v>
      </c>
      <c r="K317" s="122">
        <v>14</v>
      </c>
      <c r="L317" s="94"/>
      <c r="M317" s="123"/>
      <c r="N317" s="4"/>
      <c r="O317" s="58"/>
      <c r="P317" s="97"/>
      <c r="Q317" s="125"/>
      <c r="R317" s="125" t="s">
        <v>185</v>
      </c>
      <c r="S317" s="125">
        <v>1</v>
      </c>
      <c r="T317" s="125">
        <f t="shared" ref="T317:U321" si="122">S317+1</f>
        <v>2</v>
      </c>
      <c r="U317" s="407">
        <f t="shared" si="122"/>
        <v>3</v>
      </c>
      <c r="W317" s="100">
        <v>18</v>
      </c>
      <c r="X317" s="94"/>
      <c r="Y317" s="49"/>
      <c r="Z317" s="4"/>
      <c r="AA317" s="101">
        <v>1</v>
      </c>
      <c r="AB317" s="125">
        <f t="shared" ref="AB317:AG320" si="123">AA317+1</f>
        <v>2</v>
      </c>
      <c r="AC317" s="125">
        <f t="shared" si="123"/>
        <v>3</v>
      </c>
      <c r="AD317" s="125">
        <f t="shared" si="123"/>
        <v>4</v>
      </c>
      <c r="AE317" s="125">
        <f t="shared" si="123"/>
        <v>5</v>
      </c>
      <c r="AF317" s="125">
        <f t="shared" si="123"/>
        <v>6</v>
      </c>
      <c r="AG317" s="92">
        <f t="shared" si="123"/>
        <v>7</v>
      </c>
      <c r="AI317" s="100">
        <v>23</v>
      </c>
      <c r="AJ317" s="94"/>
      <c r="AK317" s="123"/>
    </row>
    <row r="318" spans="1:37" x14ac:dyDescent="0.2">
      <c r="A318" s="14">
        <v>318</v>
      </c>
      <c r="C318" s="101">
        <f>I317+1</f>
        <v>6</v>
      </c>
      <c r="D318" s="91">
        <f t="shared" ref="D318:E321" si="124">C318+1</f>
        <v>7</v>
      </c>
      <c r="E318" s="91">
        <f t="shared" si="124"/>
        <v>8</v>
      </c>
      <c r="F318" s="91">
        <f t="shared" si="121"/>
        <v>9</v>
      </c>
      <c r="G318" s="124">
        <f t="shared" si="121"/>
        <v>10</v>
      </c>
      <c r="H318" s="124">
        <f t="shared" si="121"/>
        <v>11</v>
      </c>
      <c r="I318" s="92">
        <f t="shared" si="121"/>
        <v>12</v>
      </c>
      <c r="K318" s="122">
        <v>15</v>
      </c>
      <c r="L318" s="103" t="s">
        <v>418</v>
      </c>
      <c r="M318" s="126">
        <v>4</v>
      </c>
      <c r="N318" s="4"/>
      <c r="O318" s="406">
        <v>4</v>
      </c>
      <c r="P318" s="125">
        <f t="shared" ref="P318:S321" si="125">O318+1</f>
        <v>5</v>
      </c>
      <c r="Q318" s="125">
        <f t="shared" si="125"/>
        <v>6</v>
      </c>
      <c r="R318" s="125">
        <f t="shared" si="125"/>
        <v>7</v>
      </c>
      <c r="S318" s="125">
        <f t="shared" si="125"/>
        <v>8</v>
      </c>
      <c r="T318" s="125">
        <f t="shared" si="122"/>
        <v>9</v>
      </c>
      <c r="U318" s="92">
        <f t="shared" si="122"/>
        <v>10</v>
      </c>
      <c r="W318" s="100">
        <v>19</v>
      </c>
      <c r="X318" s="103" t="s">
        <v>418</v>
      </c>
      <c r="Y318" s="106">
        <v>4</v>
      </c>
      <c r="Z318" s="4"/>
      <c r="AA318" s="101">
        <f>AG317+1</f>
        <v>8</v>
      </c>
      <c r="AB318" s="125">
        <f t="shared" si="123"/>
        <v>9</v>
      </c>
      <c r="AC318" s="125">
        <f t="shared" si="123"/>
        <v>10</v>
      </c>
      <c r="AD318" s="125">
        <f t="shared" si="123"/>
        <v>11</v>
      </c>
      <c r="AE318" s="125">
        <f t="shared" si="123"/>
        <v>12</v>
      </c>
      <c r="AF318" s="125">
        <f t="shared" si="123"/>
        <v>13</v>
      </c>
      <c r="AG318" s="92">
        <f t="shared" si="123"/>
        <v>14</v>
      </c>
      <c r="AI318" s="100">
        <v>24</v>
      </c>
      <c r="AJ318" s="103" t="s">
        <v>418</v>
      </c>
      <c r="AK318" s="106">
        <v>5</v>
      </c>
    </row>
    <row r="319" spans="1:37" x14ac:dyDescent="0.2">
      <c r="A319" s="14">
        <v>319</v>
      </c>
      <c r="C319" s="101">
        <f>I318+1</f>
        <v>13</v>
      </c>
      <c r="D319" s="91">
        <f t="shared" si="124"/>
        <v>14</v>
      </c>
      <c r="E319" s="91">
        <f t="shared" si="124"/>
        <v>15</v>
      </c>
      <c r="F319" s="91">
        <f t="shared" si="121"/>
        <v>16</v>
      </c>
      <c r="G319" s="91">
        <f t="shared" si="121"/>
        <v>17</v>
      </c>
      <c r="H319" s="91">
        <f t="shared" si="121"/>
        <v>18</v>
      </c>
      <c r="I319" s="92">
        <f t="shared" si="121"/>
        <v>19</v>
      </c>
      <c r="K319" s="122">
        <v>16</v>
      </c>
      <c r="L319" s="103" t="s">
        <v>425</v>
      </c>
      <c r="M319" s="126">
        <v>4</v>
      </c>
      <c r="N319" s="4"/>
      <c r="O319" s="101">
        <f>U318+1</f>
        <v>11</v>
      </c>
      <c r="P319" s="125">
        <f t="shared" si="125"/>
        <v>12</v>
      </c>
      <c r="Q319" s="125">
        <f t="shared" si="125"/>
        <v>13</v>
      </c>
      <c r="R319" s="125">
        <f t="shared" si="125"/>
        <v>14</v>
      </c>
      <c r="S319" s="125">
        <f t="shared" si="125"/>
        <v>15</v>
      </c>
      <c r="T319" s="125">
        <f t="shared" si="122"/>
        <v>16</v>
      </c>
      <c r="U319" s="92">
        <f t="shared" si="122"/>
        <v>17</v>
      </c>
      <c r="W319" s="100">
        <v>20</v>
      </c>
      <c r="X319" s="103" t="s">
        <v>425</v>
      </c>
      <c r="Y319" s="106">
        <v>5</v>
      </c>
      <c r="Z319" s="4"/>
      <c r="AA319" s="101">
        <f>AG318+1</f>
        <v>15</v>
      </c>
      <c r="AB319" s="125">
        <f t="shared" si="123"/>
        <v>16</v>
      </c>
      <c r="AC319" s="97">
        <f t="shared" si="123"/>
        <v>17</v>
      </c>
      <c r="AD319" s="130">
        <f t="shared" si="123"/>
        <v>18</v>
      </c>
      <c r="AE319" s="130">
        <f t="shared" si="123"/>
        <v>19</v>
      </c>
      <c r="AF319" s="97">
        <f t="shared" si="123"/>
        <v>20</v>
      </c>
      <c r="AG319" s="92">
        <f t="shared" si="123"/>
        <v>21</v>
      </c>
      <c r="AI319" s="100">
        <v>25</v>
      </c>
      <c r="AJ319" s="103" t="s">
        <v>425</v>
      </c>
      <c r="AK319" s="106">
        <v>4</v>
      </c>
    </row>
    <row r="320" spans="1:37" x14ac:dyDescent="0.2">
      <c r="A320" s="14">
        <v>320</v>
      </c>
      <c r="C320" s="101">
        <f>I319+1</f>
        <v>20</v>
      </c>
      <c r="D320" s="131">
        <f t="shared" si="124"/>
        <v>21</v>
      </c>
      <c r="E320" s="97">
        <f t="shared" si="124"/>
        <v>22</v>
      </c>
      <c r="F320" s="97">
        <f t="shared" si="121"/>
        <v>23</v>
      </c>
      <c r="G320" s="91">
        <f t="shared" si="121"/>
        <v>24</v>
      </c>
      <c r="H320" s="91">
        <f t="shared" si="121"/>
        <v>25</v>
      </c>
      <c r="I320" s="92">
        <f t="shared" si="121"/>
        <v>26</v>
      </c>
      <c r="K320" s="122">
        <v>17</v>
      </c>
      <c r="L320" s="103" t="s">
        <v>878</v>
      </c>
      <c r="M320" s="126">
        <v>30</v>
      </c>
      <c r="N320" s="4"/>
      <c r="O320" s="101">
        <f>U319+1</f>
        <v>18</v>
      </c>
      <c r="P320" s="125">
        <f t="shared" si="125"/>
        <v>19</v>
      </c>
      <c r="Q320" s="125">
        <f t="shared" si="125"/>
        <v>20</v>
      </c>
      <c r="R320" s="125">
        <f t="shared" si="125"/>
        <v>21</v>
      </c>
      <c r="S320" s="125">
        <f t="shared" si="125"/>
        <v>22</v>
      </c>
      <c r="T320" s="125">
        <f t="shared" si="122"/>
        <v>23</v>
      </c>
      <c r="U320" s="92">
        <f t="shared" si="122"/>
        <v>24</v>
      </c>
      <c r="W320" s="100">
        <v>21</v>
      </c>
      <c r="X320" s="103" t="s">
        <v>878</v>
      </c>
      <c r="Y320" s="106">
        <v>31</v>
      </c>
      <c r="Z320" s="4"/>
      <c r="AA320" s="101">
        <f>AG319+1</f>
        <v>22</v>
      </c>
      <c r="AB320" s="125">
        <f t="shared" si="123"/>
        <v>23</v>
      </c>
      <c r="AC320" s="130">
        <f t="shared" si="123"/>
        <v>24</v>
      </c>
      <c r="AD320" s="125">
        <f t="shared" si="123"/>
        <v>25</v>
      </c>
      <c r="AE320" s="125">
        <f t="shared" si="123"/>
        <v>26</v>
      </c>
      <c r="AF320" s="125">
        <f t="shared" si="123"/>
        <v>27</v>
      </c>
      <c r="AG320" s="92">
        <f t="shared" si="123"/>
        <v>28</v>
      </c>
      <c r="AI320" s="100">
        <v>26</v>
      </c>
      <c r="AJ320" s="103" t="s">
        <v>878</v>
      </c>
      <c r="AK320" s="106">
        <v>30</v>
      </c>
    </row>
    <row r="321" spans="1:37" x14ac:dyDescent="0.2">
      <c r="A321" s="14">
        <v>321</v>
      </c>
      <c r="C321" s="101">
        <f>I320+1</f>
        <v>27</v>
      </c>
      <c r="D321" s="91">
        <f t="shared" si="124"/>
        <v>28</v>
      </c>
      <c r="E321" s="91">
        <f t="shared" si="124"/>
        <v>29</v>
      </c>
      <c r="F321" s="91">
        <f>E321+1</f>
        <v>30</v>
      </c>
      <c r="G321" s="91"/>
      <c r="H321" s="91"/>
      <c r="I321" s="92"/>
      <c r="K321" s="122">
        <v>18</v>
      </c>
      <c r="L321" s="111"/>
      <c r="M321" s="127"/>
      <c r="N321" s="4"/>
      <c r="O321" s="101">
        <f>U320+1</f>
        <v>25</v>
      </c>
      <c r="P321" s="125">
        <f t="shared" si="125"/>
        <v>26</v>
      </c>
      <c r="Q321" s="125">
        <f t="shared" si="125"/>
        <v>27</v>
      </c>
      <c r="R321" s="125">
        <f t="shared" si="125"/>
        <v>28</v>
      </c>
      <c r="S321" s="125">
        <f t="shared" si="125"/>
        <v>29</v>
      </c>
      <c r="T321" s="125">
        <f t="shared" si="122"/>
        <v>30</v>
      </c>
      <c r="U321" s="92">
        <f t="shared" si="122"/>
        <v>31</v>
      </c>
      <c r="W321" s="100">
        <v>22</v>
      </c>
      <c r="X321" s="111"/>
      <c r="Y321" s="128"/>
      <c r="Z321" s="4"/>
      <c r="AA321" s="101">
        <f>AG320+1</f>
        <v>29</v>
      </c>
      <c r="AB321" s="125">
        <f>AA321+1</f>
        <v>30</v>
      </c>
      <c r="AC321" s="125"/>
      <c r="AD321" s="129"/>
      <c r="AE321" s="129"/>
      <c r="AF321" s="129"/>
      <c r="AG321" s="114"/>
      <c r="AI321" s="100">
        <v>27</v>
      </c>
      <c r="AJ321" s="111"/>
      <c r="AK321" s="112"/>
    </row>
    <row r="322" spans="1:37" x14ac:dyDescent="0.2">
      <c r="A322" s="14">
        <v>322</v>
      </c>
      <c r="C322" s="101"/>
      <c r="D322" s="91"/>
      <c r="E322" s="113"/>
      <c r="F322" s="113"/>
      <c r="G322" s="113"/>
      <c r="H322" s="113"/>
      <c r="I322" s="114"/>
      <c r="K322" s="122"/>
      <c r="L322" s="111"/>
      <c r="M322" s="121"/>
      <c r="N322" s="4"/>
      <c r="O322" s="101"/>
      <c r="P322" s="125"/>
      <c r="Q322" s="401"/>
      <c r="R322" s="401"/>
      <c r="S322" s="401"/>
      <c r="T322" s="129"/>
      <c r="U322" s="114"/>
      <c r="W322" s="100"/>
      <c r="X322" s="111"/>
      <c r="Y322" s="4"/>
      <c r="Z322" s="4"/>
      <c r="AA322" s="101"/>
      <c r="AB322" s="125"/>
      <c r="AC322" s="125"/>
      <c r="AD322" s="129"/>
      <c r="AE322" s="129"/>
      <c r="AF322" s="129"/>
      <c r="AG322" s="114"/>
      <c r="AI322" s="100"/>
      <c r="AJ322" s="111"/>
      <c r="AK322" s="4"/>
    </row>
    <row r="323" spans="1:37" x14ac:dyDescent="0.2">
      <c r="A323" s="14">
        <v>323</v>
      </c>
      <c r="C323" s="88"/>
      <c r="D323" s="88"/>
      <c r="E323" s="88"/>
      <c r="F323" s="88"/>
      <c r="G323" s="88"/>
      <c r="H323" s="88"/>
      <c r="I323" s="88"/>
      <c r="K323" s="117"/>
      <c r="L323" s="111"/>
      <c r="M323" s="121"/>
      <c r="N323" s="4"/>
      <c r="O323" s="88"/>
      <c r="P323" s="88"/>
      <c r="Q323" s="88"/>
      <c r="R323" s="88"/>
      <c r="S323" s="88"/>
      <c r="T323" s="88"/>
      <c r="U323" s="88"/>
      <c r="W323" s="119"/>
      <c r="X323" s="111"/>
      <c r="Y323" s="4"/>
      <c r="Z323" s="4"/>
      <c r="AA323" s="4"/>
      <c r="AB323" s="4"/>
      <c r="AC323" s="4"/>
      <c r="AD323" s="4"/>
      <c r="AE323" s="4"/>
      <c r="AF323" s="4"/>
      <c r="AG323" s="4"/>
      <c r="AI323" s="120"/>
      <c r="AJ323" s="111"/>
      <c r="AK323" s="4"/>
    </row>
    <row r="324" spans="1:37" x14ac:dyDescent="0.2">
      <c r="A324" s="14">
        <v>324</v>
      </c>
      <c r="C324" s="404" t="s">
        <v>980</v>
      </c>
      <c r="D324" s="88"/>
      <c r="E324" s="88"/>
      <c r="F324" s="88"/>
      <c r="G324" s="88"/>
      <c r="H324" s="88"/>
      <c r="I324" s="88"/>
      <c r="K324" s="117"/>
      <c r="L324" s="111"/>
      <c r="M324" s="121"/>
      <c r="N324" s="4"/>
      <c r="O324" s="404" t="s">
        <v>981</v>
      </c>
      <c r="P324" s="88"/>
      <c r="Q324" s="88"/>
      <c r="R324" s="88"/>
      <c r="S324" s="88"/>
      <c r="T324" s="88"/>
      <c r="U324" s="88"/>
      <c r="W324" s="119"/>
      <c r="X324" s="111"/>
      <c r="Y324" s="4"/>
      <c r="Z324" s="4"/>
      <c r="AA324" s="404" t="s">
        <v>982</v>
      </c>
      <c r="AB324" s="88"/>
      <c r="AC324" s="88"/>
      <c r="AD324" s="88"/>
      <c r="AE324" s="88"/>
      <c r="AF324" s="88"/>
      <c r="AG324" s="88"/>
      <c r="AI324" s="120"/>
      <c r="AJ324" s="111"/>
      <c r="AK324" s="4"/>
    </row>
    <row r="325" spans="1:37" x14ac:dyDescent="0.2">
      <c r="A325" s="14">
        <v>325</v>
      </c>
      <c r="C325" s="55" t="s">
        <v>3</v>
      </c>
      <c r="D325" s="55" t="s">
        <v>177</v>
      </c>
      <c r="E325" s="55" t="s">
        <v>178</v>
      </c>
      <c r="F325" s="55" t="s">
        <v>178</v>
      </c>
      <c r="G325" s="55" t="s">
        <v>9</v>
      </c>
      <c r="H325" s="55" t="s">
        <v>857</v>
      </c>
      <c r="I325" s="55" t="s">
        <v>854</v>
      </c>
      <c r="K325" s="56" t="s">
        <v>877</v>
      </c>
      <c r="L325" s="111"/>
      <c r="M325" s="121"/>
      <c r="N325" s="4"/>
      <c r="O325" s="55" t="s">
        <v>3</v>
      </c>
      <c r="P325" s="55" t="s">
        <v>177</v>
      </c>
      <c r="Q325" s="55" t="s">
        <v>178</v>
      </c>
      <c r="R325" s="55" t="s">
        <v>178</v>
      </c>
      <c r="S325" s="55" t="s">
        <v>9</v>
      </c>
      <c r="T325" s="55" t="s">
        <v>857</v>
      </c>
      <c r="U325" s="55" t="s">
        <v>854</v>
      </c>
      <c r="W325" s="56" t="s">
        <v>877</v>
      </c>
      <c r="X325" s="111"/>
      <c r="Y325" s="4"/>
      <c r="Z325" s="4"/>
      <c r="AA325" s="55" t="s">
        <v>3</v>
      </c>
      <c r="AB325" s="55" t="s">
        <v>177</v>
      </c>
      <c r="AC325" s="55" t="s">
        <v>178</v>
      </c>
      <c r="AD325" s="55" t="s">
        <v>178</v>
      </c>
      <c r="AE325" s="55" t="s">
        <v>9</v>
      </c>
      <c r="AF325" s="55" t="s">
        <v>857</v>
      </c>
      <c r="AG325" s="55" t="s">
        <v>854</v>
      </c>
      <c r="AI325" s="56" t="s">
        <v>877</v>
      </c>
      <c r="AJ325" s="111"/>
      <c r="AK325" s="4"/>
    </row>
    <row r="326" spans="1:37" x14ac:dyDescent="0.2">
      <c r="A326" s="14">
        <v>326</v>
      </c>
      <c r="C326" s="58"/>
      <c r="D326" s="408" t="s">
        <v>185</v>
      </c>
      <c r="E326" s="130">
        <v>1</v>
      </c>
      <c r="F326" s="97">
        <f t="shared" ref="F326:G330" si="126">E326+1</f>
        <v>2</v>
      </c>
      <c r="G326" s="97">
        <f t="shared" ref="G326:I329" si="127">F326+1</f>
        <v>3</v>
      </c>
      <c r="H326" s="125">
        <f t="shared" si="127"/>
        <v>4</v>
      </c>
      <c r="I326" s="407">
        <f t="shared" si="127"/>
        <v>5</v>
      </c>
      <c r="K326" s="122">
        <v>27</v>
      </c>
      <c r="L326" s="94"/>
      <c r="M326" s="123"/>
      <c r="N326" s="4"/>
      <c r="O326" s="101"/>
      <c r="P326" s="125"/>
      <c r="Q326" s="125"/>
      <c r="R326" s="125"/>
      <c r="S326" s="125" t="s">
        <v>185</v>
      </c>
      <c r="T326" s="125">
        <v>1</v>
      </c>
      <c r="U326" s="92">
        <f>T326+1</f>
        <v>2</v>
      </c>
      <c r="W326" s="100">
        <v>31</v>
      </c>
      <c r="X326" s="94"/>
      <c r="Y326" s="49"/>
      <c r="Z326" s="4"/>
      <c r="AA326" s="414" t="s">
        <v>185</v>
      </c>
      <c r="AB326" s="125">
        <v>1</v>
      </c>
      <c r="AC326" s="125">
        <f t="shared" ref="AC326:AG328" si="128">AB326+1</f>
        <v>2</v>
      </c>
      <c r="AD326" s="125">
        <f t="shared" si="128"/>
        <v>3</v>
      </c>
      <c r="AE326" s="125">
        <f t="shared" si="128"/>
        <v>4</v>
      </c>
      <c r="AF326" s="125">
        <f t="shared" si="128"/>
        <v>5</v>
      </c>
      <c r="AG326" s="92">
        <f t="shared" si="128"/>
        <v>6</v>
      </c>
      <c r="AI326" s="100">
        <v>36</v>
      </c>
      <c r="AJ326" s="94"/>
      <c r="AK326" s="49"/>
    </row>
    <row r="327" spans="1:37" x14ac:dyDescent="0.2">
      <c r="A327" s="14">
        <v>327</v>
      </c>
      <c r="C327" s="101">
        <f>I326+1</f>
        <v>6</v>
      </c>
      <c r="D327" s="130">
        <f t="shared" ref="D327:E330" si="129">C327+1</f>
        <v>7</v>
      </c>
      <c r="E327" s="97">
        <f t="shared" si="129"/>
        <v>8</v>
      </c>
      <c r="F327" s="97">
        <f t="shared" si="126"/>
        <v>9</v>
      </c>
      <c r="G327" s="125">
        <f t="shared" si="127"/>
        <v>10</v>
      </c>
      <c r="H327" s="125">
        <f t="shared" si="127"/>
        <v>11</v>
      </c>
      <c r="I327" s="92">
        <f t="shared" si="127"/>
        <v>12</v>
      </c>
      <c r="K327" s="122">
        <v>28</v>
      </c>
      <c r="L327" s="103" t="s">
        <v>418</v>
      </c>
      <c r="M327" s="126">
        <v>4</v>
      </c>
      <c r="N327" s="4"/>
      <c r="O327" s="101">
        <f>U326+1</f>
        <v>3</v>
      </c>
      <c r="P327" s="125">
        <f t="shared" ref="P327:T329" si="130">O327+1</f>
        <v>4</v>
      </c>
      <c r="Q327" s="125">
        <f t="shared" si="130"/>
        <v>5</v>
      </c>
      <c r="R327" s="125">
        <f t="shared" si="130"/>
        <v>6</v>
      </c>
      <c r="S327" s="125">
        <f t="shared" si="130"/>
        <v>7</v>
      </c>
      <c r="T327" s="125">
        <f t="shared" si="130"/>
        <v>8</v>
      </c>
      <c r="U327" s="92">
        <f>T327+1</f>
        <v>9</v>
      </c>
      <c r="W327" s="100">
        <v>32</v>
      </c>
      <c r="X327" s="103" t="s">
        <v>418</v>
      </c>
      <c r="Y327" s="106">
        <v>5</v>
      </c>
      <c r="Z327" s="4"/>
      <c r="AA327" s="101">
        <f>AG326+1</f>
        <v>7</v>
      </c>
      <c r="AB327" s="125">
        <f>AA327+1</f>
        <v>8</v>
      </c>
      <c r="AC327" s="125">
        <f t="shared" si="128"/>
        <v>9</v>
      </c>
      <c r="AD327" s="125">
        <f t="shared" si="128"/>
        <v>10</v>
      </c>
      <c r="AE327" s="125">
        <f t="shared" si="128"/>
        <v>11</v>
      </c>
      <c r="AF327" s="125">
        <f t="shared" si="128"/>
        <v>12</v>
      </c>
      <c r="AG327" s="92">
        <f t="shared" si="128"/>
        <v>13</v>
      </c>
      <c r="AI327" s="100">
        <v>37</v>
      </c>
      <c r="AJ327" s="103" t="s">
        <v>418</v>
      </c>
      <c r="AK327" s="106">
        <v>4</v>
      </c>
    </row>
    <row r="328" spans="1:37" x14ac:dyDescent="0.2">
      <c r="A328" s="14">
        <v>328</v>
      </c>
      <c r="C328" s="101">
        <f>I327+1</f>
        <v>13</v>
      </c>
      <c r="D328" s="125">
        <f t="shared" si="129"/>
        <v>14</v>
      </c>
      <c r="E328" s="125">
        <f t="shared" si="129"/>
        <v>15</v>
      </c>
      <c r="F328" s="125">
        <f t="shared" si="126"/>
        <v>16</v>
      </c>
      <c r="G328" s="125">
        <f t="shared" si="127"/>
        <v>17</v>
      </c>
      <c r="H328" s="125">
        <f t="shared" si="127"/>
        <v>18</v>
      </c>
      <c r="I328" s="92">
        <f t="shared" si="127"/>
        <v>19</v>
      </c>
      <c r="K328" s="122">
        <v>29</v>
      </c>
      <c r="L328" s="103" t="s">
        <v>425</v>
      </c>
      <c r="M328" s="126">
        <v>4</v>
      </c>
      <c r="N328" s="4"/>
      <c r="O328" s="101">
        <f>U327+1</f>
        <v>10</v>
      </c>
      <c r="P328" s="125">
        <f t="shared" si="130"/>
        <v>11</v>
      </c>
      <c r="Q328" s="125">
        <f t="shared" si="130"/>
        <v>12</v>
      </c>
      <c r="R328" s="125">
        <f t="shared" si="130"/>
        <v>13</v>
      </c>
      <c r="S328" s="125">
        <f t="shared" si="130"/>
        <v>14</v>
      </c>
      <c r="T328" s="125">
        <f t="shared" si="130"/>
        <v>15</v>
      </c>
      <c r="U328" s="92">
        <f>T328+1</f>
        <v>16</v>
      </c>
      <c r="W328" s="100">
        <v>33</v>
      </c>
      <c r="X328" s="103" t="s">
        <v>425</v>
      </c>
      <c r="Y328" s="106">
        <v>5</v>
      </c>
      <c r="Z328" s="4"/>
      <c r="AA328" s="101">
        <f>AG327+1</f>
        <v>14</v>
      </c>
      <c r="AB328" s="125">
        <f>AA328+1</f>
        <v>15</v>
      </c>
      <c r="AC328" s="125">
        <f t="shared" si="128"/>
        <v>16</v>
      </c>
      <c r="AD328" s="125">
        <f t="shared" si="128"/>
        <v>17</v>
      </c>
      <c r="AE328" s="125">
        <f t="shared" si="128"/>
        <v>18</v>
      </c>
      <c r="AF328" s="125">
        <f t="shared" si="128"/>
        <v>19</v>
      </c>
      <c r="AG328" s="92">
        <f t="shared" si="128"/>
        <v>20</v>
      </c>
      <c r="AI328" s="100">
        <v>38</v>
      </c>
      <c r="AJ328" s="103" t="s">
        <v>425</v>
      </c>
      <c r="AK328" s="106">
        <v>4</v>
      </c>
    </row>
    <row r="329" spans="1:37" x14ac:dyDescent="0.2">
      <c r="A329" s="14">
        <v>329</v>
      </c>
      <c r="C329" s="101">
        <f>I328+1</f>
        <v>20</v>
      </c>
      <c r="D329" s="125">
        <f t="shared" si="129"/>
        <v>21</v>
      </c>
      <c r="E329" s="125">
        <f t="shared" si="129"/>
        <v>22</v>
      </c>
      <c r="F329" s="125">
        <f t="shared" si="126"/>
        <v>23</v>
      </c>
      <c r="G329" s="134">
        <f t="shared" si="127"/>
        <v>24</v>
      </c>
      <c r="H329" s="124">
        <f t="shared" si="127"/>
        <v>25</v>
      </c>
      <c r="I329" s="92">
        <f t="shared" si="127"/>
        <v>26</v>
      </c>
      <c r="K329" s="122">
        <v>30</v>
      </c>
      <c r="L329" s="103" t="s">
        <v>878</v>
      </c>
      <c r="M329" s="126">
        <v>31</v>
      </c>
      <c r="N329" s="4"/>
      <c r="O329" s="101">
        <f>U328+1</f>
        <v>17</v>
      </c>
      <c r="P329" s="125">
        <f t="shared" si="130"/>
        <v>18</v>
      </c>
      <c r="Q329" s="125">
        <f t="shared" si="130"/>
        <v>19</v>
      </c>
      <c r="R329" s="125">
        <f t="shared" si="130"/>
        <v>20</v>
      </c>
      <c r="S329" s="125">
        <f t="shared" si="130"/>
        <v>21</v>
      </c>
      <c r="T329" s="125">
        <f t="shared" si="130"/>
        <v>22</v>
      </c>
      <c r="U329" s="92">
        <f>T329+1</f>
        <v>23</v>
      </c>
      <c r="W329" s="100">
        <v>34</v>
      </c>
      <c r="X329" s="103" t="s">
        <v>878</v>
      </c>
      <c r="Y329" s="106">
        <v>31</v>
      </c>
      <c r="Z329" s="4"/>
      <c r="AA329" s="101">
        <f>AG328+1</f>
        <v>21</v>
      </c>
      <c r="AB329" s="125">
        <f t="shared" ref="AB329:AG329" si="131">AA329+1</f>
        <v>22</v>
      </c>
      <c r="AC329" s="125">
        <f t="shared" si="131"/>
        <v>23</v>
      </c>
      <c r="AD329" s="125">
        <f t="shared" si="131"/>
        <v>24</v>
      </c>
      <c r="AE329" s="125">
        <f t="shared" si="131"/>
        <v>25</v>
      </c>
      <c r="AF329" s="125">
        <f t="shared" si="131"/>
        <v>26</v>
      </c>
      <c r="AG329" s="92">
        <f t="shared" si="131"/>
        <v>27</v>
      </c>
      <c r="AI329" s="100">
        <v>39</v>
      </c>
      <c r="AJ329" s="103" t="s">
        <v>878</v>
      </c>
      <c r="AK329" s="106">
        <v>30</v>
      </c>
    </row>
    <row r="330" spans="1:37" x14ac:dyDescent="0.2">
      <c r="A330" s="14">
        <v>330</v>
      </c>
      <c r="C330" s="101">
        <f>I329+1</f>
        <v>27</v>
      </c>
      <c r="D330" s="134">
        <f t="shared" si="129"/>
        <v>28</v>
      </c>
      <c r="E330" s="125">
        <f t="shared" si="129"/>
        <v>29</v>
      </c>
      <c r="F330" s="125">
        <f t="shared" si="126"/>
        <v>30</v>
      </c>
      <c r="G330" s="125">
        <f t="shared" si="126"/>
        <v>31</v>
      </c>
      <c r="H330" s="125"/>
      <c r="I330" s="92"/>
      <c r="K330" s="122">
        <v>31</v>
      </c>
      <c r="L330" s="111"/>
      <c r="M330" s="127"/>
      <c r="N330" s="4"/>
      <c r="O330" s="101">
        <f>U329+1</f>
        <v>24</v>
      </c>
      <c r="P330" s="125">
        <f t="shared" ref="P330:U330" si="132">O330+1</f>
        <v>25</v>
      </c>
      <c r="Q330" s="125">
        <f t="shared" si="132"/>
        <v>26</v>
      </c>
      <c r="R330" s="125">
        <f t="shared" si="132"/>
        <v>27</v>
      </c>
      <c r="S330" s="125">
        <f t="shared" si="132"/>
        <v>28</v>
      </c>
      <c r="T330" s="125">
        <f t="shared" si="132"/>
        <v>29</v>
      </c>
      <c r="U330" s="92">
        <f t="shared" si="132"/>
        <v>30</v>
      </c>
      <c r="W330" s="100">
        <v>35</v>
      </c>
      <c r="X330" s="111"/>
      <c r="Y330" s="112"/>
      <c r="Z330" s="4"/>
      <c r="AA330" s="101">
        <f>AG329+1</f>
        <v>28</v>
      </c>
      <c r="AB330" s="125">
        <f>AA330+1</f>
        <v>29</v>
      </c>
      <c r="AC330" s="125">
        <f>AB330+1</f>
        <v>30</v>
      </c>
      <c r="AD330" s="129"/>
      <c r="AE330" s="129"/>
      <c r="AF330" s="129"/>
      <c r="AG330" s="114"/>
      <c r="AI330" s="413">
        <v>40</v>
      </c>
      <c r="AJ330" s="111"/>
      <c r="AK330" s="112"/>
    </row>
    <row r="331" spans="1:37" x14ac:dyDescent="0.2">
      <c r="A331" s="14">
        <v>331</v>
      </c>
      <c r="C331" s="101"/>
      <c r="D331" s="125"/>
      <c r="E331" s="401"/>
      <c r="F331" s="129"/>
      <c r="G331" s="129"/>
      <c r="H331" s="129"/>
      <c r="I331" s="114"/>
      <c r="K331" s="122"/>
      <c r="L331" s="111"/>
      <c r="M331" s="121"/>
      <c r="N331" s="4"/>
      <c r="O331" s="101">
        <f>U330+1</f>
        <v>31</v>
      </c>
      <c r="P331" s="125"/>
      <c r="Q331" s="125"/>
      <c r="R331" s="125"/>
      <c r="S331" s="125"/>
      <c r="T331" s="125"/>
      <c r="U331" s="92"/>
      <c r="W331" s="100">
        <v>36</v>
      </c>
      <c r="X331" s="111"/>
      <c r="Y331" s="4"/>
      <c r="Z331" s="4"/>
      <c r="AA331" s="101"/>
      <c r="AB331" s="125"/>
      <c r="AC331" s="125"/>
      <c r="AD331" s="129"/>
      <c r="AE331" s="129"/>
      <c r="AF331" s="129"/>
      <c r="AG331" s="114"/>
      <c r="AI331" s="413"/>
      <c r="AJ331" s="111"/>
      <c r="AK331" s="4"/>
    </row>
    <row r="332" spans="1:37" x14ac:dyDescent="0.2">
      <c r="A332" s="14">
        <v>332</v>
      </c>
      <c r="C332" s="88"/>
      <c r="D332" s="88"/>
      <c r="E332" s="88"/>
      <c r="F332" s="88"/>
      <c r="G332" s="88"/>
      <c r="H332" s="88"/>
      <c r="I332" s="88"/>
      <c r="K332" s="117"/>
      <c r="L332" s="111"/>
      <c r="M332" s="121"/>
      <c r="N332" s="4"/>
      <c r="O332" s="88"/>
      <c r="P332" s="88"/>
      <c r="Q332" s="88"/>
      <c r="R332" s="88"/>
      <c r="S332" s="88"/>
      <c r="T332" s="88"/>
      <c r="U332" s="88"/>
      <c r="W332" s="119"/>
      <c r="X332" s="111"/>
      <c r="Y332" s="4"/>
      <c r="Z332" s="4"/>
      <c r="AA332" s="4"/>
      <c r="AB332" s="4"/>
      <c r="AC332" s="4"/>
      <c r="AD332" s="4"/>
      <c r="AE332" s="4"/>
      <c r="AF332" s="4"/>
      <c r="AG332" s="4"/>
      <c r="AI332" s="120"/>
      <c r="AJ332" s="111"/>
      <c r="AK332" s="4"/>
    </row>
    <row r="333" spans="1:37" x14ac:dyDescent="0.2">
      <c r="A333" s="14">
        <v>333</v>
      </c>
      <c r="C333" s="404" t="s">
        <v>983</v>
      </c>
      <c r="D333" s="88"/>
      <c r="E333" s="88"/>
      <c r="F333" s="88"/>
      <c r="G333" s="88"/>
      <c r="H333" s="88"/>
      <c r="I333" s="88"/>
      <c r="K333" s="117"/>
      <c r="L333" s="111"/>
      <c r="M333" s="121"/>
      <c r="N333" s="4"/>
      <c r="O333" s="404" t="s">
        <v>984</v>
      </c>
      <c r="P333" s="88"/>
      <c r="Q333" s="88"/>
      <c r="R333" s="88"/>
      <c r="S333" s="88"/>
      <c r="T333" s="88"/>
      <c r="U333" s="88"/>
      <c r="W333" s="119"/>
      <c r="X333" s="111"/>
      <c r="Y333" s="4"/>
      <c r="Z333" s="4"/>
      <c r="AA333" s="404" t="s">
        <v>985</v>
      </c>
      <c r="AB333" s="88"/>
      <c r="AC333" s="88"/>
      <c r="AD333" s="88"/>
      <c r="AE333" s="88"/>
      <c r="AF333" s="88"/>
      <c r="AG333" s="88"/>
      <c r="AI333" s="120"/>
      <c r="AJ333" s="111"/>
      <c r="AK333" s="4"/>
    </row>
    <row r="334" spans="1:37" x14ac:dyDescent="0.2">
      <c r="A334" s="14">
        <v>334</v>
      </c>
      <c r="C334" s="55" t="s">
        <v>3</v>
      </c>
      <c r="D334" s="55" t="s">
        <v>177</v>
      </c>
      <c r="E334" s="55" t="s">
        <v>178</v>
      </c>
      <c r="F334" s="55" t="s">
        <v>178</v>
      </c>
      <c r="G334" s="55" t="s">
        <v>9</v>
      </c>
      <c r="H334" s="55" t="s">
        <v>857</v>
      </c>
      <c r="I334" s="55" t="s">
        <v>854</v>
      </c>
      <c r="K334" s="56" t="s">
        <v>877</v>
      </c>
      <c r="L334" s="111"/>
      <c r="M334" s="121"/>
      <c r="N334" s="4"/>
      <c r="O334" s="55" t="s">
        <v>3</v>
      </c>
      <c r="P334" s="55" t="s">
        <v>177</v>
      </c>
      <c r="Q334" s="55" t="s">
        <v>178</v>
      </c>
      <c r="R334" s="55" t="s">
        <v>178</v>
      </c>
      <c r="S334" s="55" t="s">
        <v>9</v>
      </c>
      <c r="T334" s="55" t="s">
        <v>857</v>
      </c>
      <c r="U334" s="55" t="s">
        <v>854</v>
      </c>
      <c r="W334" s="56" t="s">
        <v>877</v>
      </c>
      <c r="X334" s="111"/>
      <c r="Y334" s="4"/>
      <c r="Z334" s="4"/>
      <c r="AA334" s="55" t="s">
        <v>3</v>
      </c>
      <c r="AB334" s="55" t="s">
        <v>177</v>
      </c>
      <c r="AC334" s="55" t="s">
        <v>178</v>
      </c>
      <c r="AD334" s="55" t="s">
        <v>178</v>
      </c>
      <c r="AE334" s="55" t="s">
        <v>9</v>
      </c>
      <c r="AF334" s="55" t="s">
        <v>857</v>
      </c>
      <c r="AG334" s="55" t="s">
        <v>854</v>
      </c>
      <c r="AI334" s="56" t="s">
        <v>877</v>
      </c>
      <c r="AJ334" s="111"/>
      <c r="AK334" s="4"/>
    </row>
    <row r="335" spans="1:37" x14ac:dyDescent="0.2">
      <c r="A335" s="14">
        <v>335</v>
      </c>
      <c r="C335" s="101"/>
      <c r="D335" s="125"/>
      <c r="E335" s="125" t="s">
        <v>185</v>
      </c>
      <c r="F335" s="125">
        <v>1</v>
      </c>
      <c r="G335" s="125">
        <f t="shared" ref="G335:I338" si="133">F335+1</f>
        <v>2</v>
      </c>
      <c r="H335" s="125">
        <f t="shared" si="133"/>
        <v>3</v>
      </c>
      <c r="I335" s="92">
        <f t="shared" si="133"/>
        <v>4</v>
      </c>
      <c r="K335" s="122">
        <v>40</v>
      </c>
      <c r="L335" s="94"/>
      <c r="M335" s="123"/>
      <c r="N335" s="4"/>
      <c r="O335" s="101"/>
      <c r="P335" s="125"/>
      <c r="Q335" s="125"/>
      <c r="R335" s="125"/>
      <c r="S335" s="125"/>
      <c r="T335" s="125" t="s">
        <v>185</v>
      </c>
      <c r="U335" s="92">
        <v>1</v>
      </c>
      <c r="W335" s="100">
        <v>44</v>
      </c>
      <c r="X335" s="94"/>
      <c r="Y335" s="49"/>
      <c r="Z335" s="4"/>
      <c r="AA335" s="414" t="s">
        <v>185</v>
      </c>
      <c r="AB335" s="125">
        <v>1</v>
      </c>
      <c r="AC335" s="125">
        <f t="shared" ref="AC335:AG337" si="134">AB335+1</f>
        <v>2</v>
      </c>
      <c r="AD335" s="125">
        <f t="shared" si="134"/>
        <v>3</v>
      </c>
      <c r="AE335" s="125">
        <f t="shared" si="134"/>
        <v>4</v>
      </c>
      <c r="AF335" s="125">
        <f t="shared" si="134"/>
        <v>5</v>
      </c>
      <c r="AG335" s="92">
        <f t="shared" si="134"/>
        <v>6</v>
      </c>
      <c r="AI335" s="100">
        <v>49</v>
      </c>
      <c r="AJ335" s="94"/>
      <c r="AK335" s="152"/>
    </row>
    <row r="336" spans="1:37" x14ac:dyDescent="0.2">
      <c r="A336" s="14">
        <v>336</v>
      </c>
      <c r="C336" s="101">
        <f>I335+1</f>
        <v>5</v>
      </c>
      <c r="D336" s="124">
        <f t="shared" ref="D336:F339" si="135">C336+1</f>
        <v>6</v>
      </c>
      <c r="E336" s="131">
        <f t="shared" si="135"/>
        <v>7</v>
      </c>
      <c r="F336" s="125">
        <f t="shared" si="135"/>
        <v>8</v>
      </c>
      <c r="G336" s="125">
        <f t="shared" si="133"/>
        <v>9</v>
      </c>
      <c r="H336" s="125">
        <f t="shared" si="133"/>
        <v>10</v>
      </c>
      <c r="I336" s="92">
        <f t="shared" si="133"/>
        <v>11</v>
      </c>
      <c r="K336" s="122">
        <v>41</v>
      </c>
      <c r="L336" s="103" t="s">
        <v>418</v>
      </c>
      <c r="M336" s="126">
        <v>4</v>
      </c>
      <c r="N336" s="4"/>
      <c r="O336" s="101">
        <f>U335+1</f>
        <v>2</v>
      </c>
      <c r="P336" s="125">
        <f t="shared" ref="P336:U338" si="136">O336+1</f>
        <v>3</v>
      </c>
      <c r="Q336" s="125">
        <f t="shared" si="136"/>
        <v>4</v>
      </c>
      <c r="R336" s="125">
        <f t="shared" si="136"/>
        <v>5</v>
      </c>
      <c r="S336" s="125">
        <f t="shared" si="136"/>
        <v>6</v>
      </c>
      <c r="T336" s="125">
        <f t="shared" si="136"/>
        <v>7</v>
      </c>
      <c r="U336" s="92">
        <f t="shared" si="136"/>
        <v>8</v>
      </c>
      <c r="W336" s="100">
        <v>45</v>
      </c>
      <c r="X336" s="103" t="s">
        <v>418</v>
      </c>
      <c r="Y336" s="106">
        <v>5</v>
      </c>
      <c r="Z336" s="4"/>
      <c r="AA336" s="101">
        <f>AG335+1</f>
        <v>7</v>
      </c>
      <c r="AB336" s="125">
        <f>AA336+1</f>
        <v>8</v>
      </c>
      <c r="AC336" s="125">
        <f t="shared" si="134"/>
        <v>9</v>
      </c>
      <c r="AD336" s="125">
        <f t="shared" si="134"/>
        <v>10</v>
      </c>
      <c r="AE336" s="125">
        <f t="shared" si="134"/>
        <v>11</v>
      </c>
      <c r="AF336" s="125">
        <f t="shared" si="134"/>
        <v>12</v>
      </c>
      <c r="AG336" s="92">
        <f t="shared" si="134"/>
        <v>13</v>
      </c>
      <c r="AI336" s="100">
        <v>50</v>
      </c>
      <c r="AJ336" s="103" t="s">
        <v>418</v>
      </c>
      <c r="AK336" s="106">
        <v>4</v>
      </c>
    </row>
    <row r="337" spans="1:37" x14ac:dyDescent="0.2">
      <c r="A337" s="14">
        <v>337</v>
      </c>
      <c r="C337" s="101">
        <f>I336+1</f>
        <v>12</v>
      </c>
      <c r="D337" s="125">
        <f t="shared" si="135"/>
        <v>13</v>
      </c>
      <c r="E337" s="125">
        <f t="shared" si="135"/>
        <v>14</v>
      </c>
      <c r="F337" s="125">
        <f t="shared" si="135"/>
        <v>15</v>
      </c>
      <c r="G337" s="125">
        <f t="shared" si="133"/>
        <v>16</v>
      </c>
      <c r="H337" s="125">
        <f t="shared" si="133"/>
        <v>17</v>
      </c>
      <c r="I337" s="92">
        <f t="shared" si="133"/>
        <v>18</v>
      </c>
      <c r="K337" s="122">
        <v>42</v>
      </c>
      <c r="L337" s="103" t="s">
        <v>425</v>
      </c>
      <c r="M337" s="126">
        <v>4</v>
      </c>
      <c r="N337" s="4"/>
      <c r="O337" s="101">
        <f>U336+1</f>
        <v>9</v>
      </c>
      <c r="P337" s="125">
        <f t="shared" si="136"/>
        <v>10</v>
      </c>
      <c r="Q337" s="125">
        <f t="shared" si="136"/>
        <v>11</v>
      </c>
      <c r="R337" s="125">
        <f t="shared" si="136"/>
        <v>12</v>
      </c>
      <c r="S337" s="125">
        <f t="shared" si="136"/>
        <v>13</v>
      </c>
      <c r="T337" s="125">
        <f t="shared" si="136"/>
        <v>14</v>
      </c>
      <c r="U337" s="92">
        <f t="shared" si="136"/>
        <v>15</v>
      </c>
      <c r="W337" s="100">
        <v>46</v>
      </c>
      <c r="X337" s="103" t="s">
        <v>425</v>
      </c>
      <c r="Y337" s="106">
        <v>5</v>
      </c>
      <c r="Z337" s="4"/>
      <c r="AA337" s="101">
        <f>AG336+1</f>
        <v>14</v>
      </c>
      <c r="AB337" s="125">
        <f>AA337+1</f>
        <v>15</v>
      </c>
      <c r="AC337" s="125">
        <f t="shared" si="134"/>
        <v>16</v>
      </c>
      <c r="AD337" s="125">
        <f t="shared" si="134"/>
        <v>17</v>
      </c>
      <c r="AE337" s="125">
        <f t="shared" si="134"/>
        <v>18</v>
      </c>
      <c r="AF337" s="124">
        <f t="shared" si="134"/>
        <v>19</v>
      </c>
      <c r="AG337" s="92">
        <f t="shared" si="134"/>
        <v>20</v>
      </c>
      <c r="AI337" s="100">
        <v>51</v>
      </c>
      <c r="AJ337" s="103" t="s">
        <v>425</v>
      </c>
      <c r="AK337" s="106">
        <v>4</v>
      </c>
    </row>
    <row r="338" spans="1:37" x14ac:dyDescent="0.2">
      <c r="A338" s="14">
        <v>338</v>
      </c>
      <c r="C338" s="101">
        <f>I337+1</f>
        <v>19</v>
      </c>
      <c r="D338" s="125">
        <f t="shared" si="135"/>
        <v>20</v>
      </c>
      <c r="E338" s="125">
        <f t="shared" si="135"/>
        <v>21</v>
      </c>
      <c r="F338" s="125">
        <f t="shared" si="135"/>
        <v>22</v>
      </c>
      <c r="G338" s="125">
        <f t="shared" si="133"/>
        <v>23</v>
      </c>
      <c r="H338" s="125">
        <f t="shared" si="133"/>
        <v>24</v>
      </c>
      <c r="I338" s="92">
        <f t="shared" si="133"/>
        <v>25</v>
      </c>
      <c r="K338" s="122">
        <v>43</v>
      </c>
      <c r="L338" s="103" t="s">
        <v>878</v>
      </c>
      <c r="M338" s="126">
        <v>31</v>
      </c>
      <c r="N338" s="4"/>
      <c r="O338" s="101">
        <f>U337+1</f>
        <v>16</v>
      </c>
      <c r="P338" s="125">
        <f t="shared" si="136"/>
        <v>17</v>
      </c>
      <c r="Q338" s="125">
        <f t="shared" si="136"/>
        <v>18</v>
      </c>
      <c r="R338" s="125">
        <f t="shared" si="136"/>
        <v>19</v>
      </c>
      <c r="S338" s="125">
        <f t="shared" si="136"/>
        <v>20</v>
      </c>
      <c r="T338" s="125">
        <f t="shared" si="136"/>
        <v>21</v>
      </c>
      <c r="U338" s="92">
        <f t="shared" si="136"/>
        <v>22</v>
      </c>
      <c r="W338" s="100">
        <v>47</v>
      </c>
      <c r="X338" s="103" t="s">
        <v>878</v>
      </c>
      <c r="Y338" s="106">
        <v>30</v>
      </c>
      <c r="Z338" s="4"/>
      <c r="AA338" s="101">
        <f>AG337+1</f>
        <v>21</v>
      </c>
      <c r="AB338" s="125">
        <f t="shared" ref="AB338:AG338" si="137">AA338+1</f>
        <v>22</v>
      </c>
      <c r="AC338" s="125">
        <f t="shared" si="137"/>
        <v>23</v>
      </c>
      <c r="AD338" s="125">
        <f t="shared" si="137"/>
        <v>24</v>
      </c>
      <c r="AE338" s="125">
        <f t="shared" si="137"/>
        <v>25</v>
      </c>
      <c r="AF338" s="125">
        <f t="shared" si="137"/>
        <v>26</v>
      </c>
      <c r="AG338" s="92">
        <f t="shared" si="137"/>
        <v>27</v>
      </c>
      <c r="AI338" s="100">
        <v>52</v>
      </c>
      <c r="AJ338" s="103" t="s">
        <v>878</v>
      </c>
      <c r="AK338" s="106">
        <v>31</v>
      </c>
    </row>
    <row r="339" spans="1:37" x14ac:dyDescent="0.2">
      <c r="A339" s="14">
        <v>339</v>
      </c>
      <c r="C339" s="101">
        <f>I338+1</f>
        <v>26</v>
      </c>
      <c r="D339" s="125">
        <f t="shared" si="135"/>
        <v>27</v>
      </c>
      <c r="E339" s="125">
        <f t="shared" si="135"/>
        <v>28</v>
      </c>
      <c r="F339" s="125">
        <f t="shared" si="135"/>
        <v>29</v>
      </c>
      <c r="G339" s="125">
        <f>F339+1</f>
        <v>30</v>
      </c>
      <c r="H339" s="125">
        <f>G339+1</f>
        <v>31</v>
      </c>
      <c r="I339" s="114"/>
      <c r="K339" s="122">
        <v>44</v>
      </c>
      <c r="L339" s="4"/>
      <c r="M339" s="112"/>
      <c r="N339" s="4"/>
      <c r="O339" s="101">
        <f>U338+1</f>
        <v>23</v>
      </c>
      <c r="P339" s="125">
        <f t="shared" ref="P339:U339" si="138">O339+1</f>
        <v>24</v>
      </c>
      <c r="Q339" s="125">
        <f t="shared" si="138"/>
        <v>25</v>
      </c>
      <c r="R339" s="125">
        <f t="shared" si="138"/>
        <v>26</v>
      </c>
      <c r="S339" s="125">
        <f t="shared" si="138"/>
        <v>27</v>
      </c>
      <c r="T339" s="125">
        <f t="shared" si="138"/>
        <v>28</v>
      </c>
      <c r="U339" s="92">
        <f t="shared" si="138"/>
        <v>29</v>
      </c>
      <c r="W339" s="100">
        <v>48</v>
      </c>
      <c r="X339" s="111"/>
      <c r="Y339" s="112"/>
      <c r="Z339" s="4"/>
      <c r="AA339" s="101">
        <f>AG338+1</f>
        <v>28</v>
      </c>
      <c r="AB339" s="125">
        <f>AA339+1</f>
        <v>29</v>
      </c>
      <c r="AC339" s="125">
        <f>AB339+1</f>
        <v>30</v>
      </c>
      <c r="AD339" s="125">
        <f>AC339+1</f>
        <v>31</v>
      </c>
      <c r="AE339" s="129"/>
      <c r="AF339" s="129"/>
      <c r="AG339" s="114"/>
      <c r="AI339" s="255" t="s">
        <v>185</v>
      </c>
      <c r="AJ339" s="111"/>
      <c r="AK339" s="4"/>
    </row>
    <row r="340" spans="1:37" x14ac:dyDescent="0.2">
      <c r="A340" s="14">
        <v>340</v>
      </c>
      <c r="C340" s="414" t="s">
        <v>185</v>
      </c>
      <c r="D340" s="125" t="s">
        <v>185</v>
      </c>
      <c r="E340" s="125" t="s">
        <v>185</v>
      </c>
      <c r="F340" s="125" t="s">
        <v>185</v>
      </c>
      <c r="G340" s="125" t="s">
        <v>185</v>
      </c>
      <c r="H340" s="125" t="s">
        <v>185</v>
      </c>
      <c r="I340" s="114"/>
      <c r="K340" s="122"/>
      <c r="L340" s="4"/>
      <c r="M340" s="4"/>
      <c r="N340" s="4"/>
      <c r="O340" s="101">
        <f>U339+1</f>
        <v>30</v>
      </c>
      <c r="P340" s="125"/>
      <c r="Q340" s="129"/>
      <c r="R340" s="129"/>
      <c r="S340" s="129"/>
      <c r="T340" s="129"/>
      <c r="U340" s="114"/>
      <c r="V340" s="133"/>
      <c r="W340" s="100">
        <v>49</v>
      </c>
      <c r="X340" s="4"/>
      <c r="Y340" s="4"/>
      <c r="Z340" s="4"/>
      <c r="AA340" s="101"/>
      <c r="AB340" s="125"/>
      <c r="AC340" s="125"/>
      <c r="AD340" s="125"/>
      <c r="AE340" s="129"/>
      <c r="AF340" s="129"/>
      <c r="AG340" s="114"/>
      <c r="AI340" s="116"/>
      <c r="AJ340" s="4"/>
      <c r="AK340" s="4"/>
    </row>
    <row r="341" spans="1:37" x14ac:dyDescent="0.2">
      <c r="A341" s="14">
        <v>341</v>
      </c>
      <c r="C341" s="88"/>
      <c r="D341" s="88"/>
      <c r="E341" s="88"/>
      <c r="F341" s="88"/>
      <c r="G341" s="88"/>
      <c r="H341" s="88"/>
      <c r="I341" s="8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88"/>
      <c r="AB341" s="88"/>
      <c r="AC341" s="88"/>
      <c r="AD341" s="88"/>
      <c r="AE341" s="88"/>
      <c r="AF341" s="88"/>
      <c r="AG341" s="88"/>
      <c r="AH341" s="4"/>
      <c r="AI341" s="4"/>
      <c r="AJ341" s="4"/>
      <c r="AK341" s="4"/>
    </row>
    <row r="342" spans="1:37" ht="12.75" x14ac:dyDescent="0.2">
      <c r="A342" s="14">
        <v>342</v>
      </c>
      <c r="C342" s="157"/>
      <c r="D342" s="141"/>
      <c r="E342" s="141"/>
      <c r="F342" s="141"/>
      <c r="G342" s="141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1"/>
      <c r="S342" s="140"/>
      <c r="T342" s="140"/>
      <c r="U342" s="140"/>
      <c r="V342" s="140"/>
      <c r="W342" s="140"/>
      <c r="X342" s="142" t="s">
        <v>973</v>
      </c>
      <c r="Y342" s="141"/>
      <c r="Z342" s="4"/>
      <c r="AA342" s="88"/>
      <c r="AB342" s="88"/>
      <c r="AC342" s="88"/>
      <c r="AD342" s="88"/>
      <c r="AH342" s="153" t="s">
        <v>888</v>
      </c>
      <c r="AI342" s="144">
        <f>(M309+Y309+AK309+M318+Y318+AK318+M327+Y327+AK327+M336+Y336+AK336)</f>
        <v>52</v>
      </c>
    </row>
    <row r="343" spans="1:37" x14ac:dyDescent="0.2">
      <c r="A343" s="14">
        <v>343</v>
      </c>
      <c r="Z343" s="4"/>
      <c r="AA343" s="88"/>
      <c r="AB343" s="88"/>
      <c r="AC343" s="88"/>
      <c r="AD343" s="88"/>
      <c r="AH343" s="153" t="s">
        <v>889</v>
      </c>
      <c r="AI343" s="145">
        <f>(M310+Y310+AK310+M319+Y319+AK319+M328+Y328+AK328+M337+Y337+AK337)</f>
        <v>52</v>
      </c>
    </row>
    <row r="344" spans="1:37" x14ac:dyDescent="0.2">
      <c r="A344" s="14">
        <v>344</v>
      </c>
      <c r="C344" s="135"/>
      <c r="H344" s="4"/>
      <c r="I344" s="4"/>
      <c r="J344" s="4"/>
      <c r="K344" s="4"/>
      <c r="L344" s="4"/>
      <c r="M344" s="4"/>
      <c r="N344" s="4"/>
      <c r="O344" s="4"/>
      <c r="P344" s="4"/>
      <c r="Q344" s="4"/>
      <c r="S344" s="4"/>
      <c r="T344" s="4"/>
      <c r="U344" s="4"/>
      <c r="V344" s="4"/>
      <c r="W344" s="4"/>
      <c r="Z344" s="4"/>
      <c r="AA344" s="88"/>
      <c r="AB344" s="88"/>
      <c r="AC344" s="88"/>
      <c r="AD344" s="88"/>
      <c r="AH344" s="153" t="s">
        <v>890</v>
      </c>
      <c r="AI344" s="154">
        <f>(M311+Y311+AK311+M320+Y320+AK320+M329+Y329+AK329+M338+Y338+AK338)</f>
        <v>365</v>
      </c>
      <c r="AJ344" s="147" t="str">
        <f>IF(AI344&gt;365,"BISIESTO","NORMAL")</f>
        <v>NORMAL</v>
      </c>
    </row>
    <row r="345" spans="1:37" x14ac:dyDescent="0.2">
      <c r="A345" s="14">
        <v>345</v>
      </c>
      <c r="C345" s="135"/>
      <c r="H345" s="4"/>
      <c r="I345" s="4"/>
      <c r="J345" s="4"/>
      <c r="K345" s="4"/>
      <c r="L345" s="4"/>
      <c r="M345" s="4"/>
      <c r="N345" s="4"/>
      <c r="O345" s="4"/>
      <c r="P345" s="4"/>
      <c r="Q345" s="4"/>
      <c r="S345" s="4"/>
      <c r="T345" s="4"/>
      <c r="U345" s="4"/>
      <c r="V345" s="4"/>
      <c r="W345" s="4"/>
      <c r="Z345" s="4"/>
      <c r="AA345" s="88"/>
      <c r="AB345" s="88"/>
      <c r="AC345" s="88"/>
      <c r="AD345" s="88"/>
      <c r="AH345" s="153" t="s">
        <v>892</v>
      </c>
      <c r="AI345" s="149">
        <v>52</v>
      </c>
    </row>
    <row r="346" spans="1:37" x14ac:dyDescent="0.2">
      <c r="A346" s="14">
        <v>346</v>
      </c>
    </row>
    <row r="347" spans="1:37" ht="12.75" x14ac:dyDescent="0.2">
      <c r="A347" s="14">
        <v>347</v>
      </c>
      <c r="C347" s="85" t="s">
        <v>986</v>
      </c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</row>
    <row r="348" spans="1:37" x14ac:dyDescent="0.2">
      <c r="A348" s="14">
        <v>348</v>
      </c>
    </row>
    <row r="349" spans="1:37" x14ac:dyDescent="0.2">
      <c r="A349" s="14">
        <v>349</v>
      </c>
      <c r="C349" s="404" t="s">
        <v>987</v>
      </c>
      <c r="D349" s="88"/>
      <c r="E349" s="88"/>
      <c r="F349" s="88"/>
      <c r="G349" s="88"/>
      <c r="H349" s="88"/>
      <c r="I349" s="88"/>
      <c r="J349" s="4"/>
      <c r="K349" s="4"/>
      <c r="L349" s="89"/>
      <c r="M349" s="90"/>
      <c r="N349" s="4"/>
      <c r="O349" s="404" t="s">
        <v>988</v>
      </c>
      <c r="P349" s="88"/>
      <c r="Q349" s="88"/>
      <c r="R349" s="88"/>
      <c r="S349" s="88"/>
      <c r="T349" s="88"/>
      <c r="U349" s="88"/>
      <c r="V349" s="4"/>
      <c r="W349" s="4"/>
      <c r="X349" s="4"/>
      <c r="Y349" s="4"/>
      <c r="Z349" s="4"/>
      <c r="AA349" s="404" t="s">
        <v>989</v>
      </c>
      <c r="AB349" s="88"/>
      <c r="AC349" s="88"/>
      <c r="AD349" s="88"/>
      <c r="AE349" s="88"/>
      <c r="AF349" s="88"/>
      <c r="AG349" s="88"/>
      <c r="AH349" s="4"/>
      <c r="AI349" s="4"/>
      <c r="AJ349" s="4"/>
      <c r="AK349" s="4"/>
    </row>
    <row r="350" spans="1:37" x14ac:dyDescent="0.2">
      <c r="A350" s="14">
        <v>350</v>
      </c>
      <c r="C350" s="55" t="s">
        <v>3</v>
      </c>
      <c r="D350" s="55" t="s">
        <v>177</v>
      </c>
      <c r="E350" s="55" t="s">
        <v>178</v>
      </c>
      <c r="F350" s="55" t="s">
        <v>178</v>
      </c>
      <c r="G350" s="55" t="s">
        <v>9</v>
      </c>
      <c r="H350" s="55" t="s">
        <v>857</v>
      </c>
      <c r="I350" s="55" t="s">
        <v>854</v>
      </c>
      <c r="K350" s="56" t="s">
        <v>877</v>
      </c>
      <c r="L350" s="4"/>
      <c r="M350" s="4"/>
      <c r="N350" s="4"/>
      <c r="O350" s="55" t="s">
        <v>3</v>
      </c>
      <c r="P350" s="55" t="s">
        <v>177</v>
      </c>
      <c r="Q350" s="55" t="s">
        <v>178</v>
      </c>
      <c r="R350" s="55" t="s">
        <v>178</v>
      </c>
      <c r="S350" s="55" t="s">
        <v>9</v>
      </c>
      <c r="T350" s="55" t="s">
        <v>857</v>
      </c>
      <c r="U350" s="55" t="s">
        <v>854</v>
      </c>
      <c r="W350" s="56" t="s">
        <v>877</v>
      </c>
      <c r="X350" s="4"/>
      <c r="Y350" s="57"/>
      <c r="Z350" s="4"/>
      <c r="AA350" s="55" t="s">
        <v>3</v>
      </c>
      <c r="AB350" s="55" t="s">
        <v>177</v>
      </c>
      <c r="AC350" s="55" t="s">
        <v>178</v>
      </c>
      <c r="AD350" s="55" t="s">
        <v>178</v>
      </c>
      <c r="AE350" s="55" t="s">
        <v>9</v>
      </c>
      <c r="AF350" s="55" t="s">
        <v>857</v>
      </c>
      <c r="AG350" s="55" t="s">
        <v>854</v>
      </c>
      <c r="AI350" s="56" t="s">
        <v>877</v>
      </c>
      <c r="AJ350" s="4"/>
      <c r="AK350" s="4"/>
    </row>
    <row r="351" spans="1:37" x14ac:dyDescent="0.2">
      <c r="A351" s="14">
        <v>351</v>
      </c>
      <c r="C351" s="58"/>
      <c r="D351" s="91"/>
      <c r="E351" s="156"/>
      <c r="F351" s="156"/>
      <c r="G351" s="156">
        <v>1</v>
      </c>
      <c r="H351" s="91">
        <f t="shared" ref="H351:I355" si="139">G351+1</f>
        <v>2</v>
      </c>
      <c r="I351" s="405">
        <f t="shared" si="139"/>
        <v>3</v>
      </c>
      <c r="K351" s="93">
        <v>1</v>
      </c>
      <c r="L351" s="94"/>
      <c r="M351" s="95"/>
      <c r="N351" s="96"/>
      <c r="O351" s="101">
        <v>1</v>
      </c>
      <c r="P351" s="91">
        <f t="shared" ref="P351:U354" si="140">O351+1</f>
        <v>2</v>
      </c>
      <c r="Q351" s="91">
        <f t="shared" si="140"/>
        <v>3</v>
      </c>
      <c r="R351" s="91">
        <f t="shared" si="140"/>
        <v>4</v>
      </c>
      <c r="S351" s="91">
        <f t="shared" si="140"/>
        <v>5</v>
      </c>
      <c r="T351" s="91">
        <f t="shared" si="140"/>
        <v>6</v>
      </c>
      <c r="U351" s="92">
        <f t="shared" si="140"/>
        <v>7</v>
      </c>
      <c r="W351" s="98">
        <v>6</v>
      </c>
      <c r="X351" s="94"/>
      <c r="Y351" s="99"/>
      <c r="Z351" s="96"/>
      <c r="AA351" s="101">
        <v>1</v>
      </c>
      <c r="AB351" s="91">
        <f t="shared" ref="AB351:AG353" si="141">AA351+1</f>
        <v>2</v>
      </c>
      <c r="AC351" s="91">
        <f t="shared" si="141"/>
        <v>3</v>
      </c>
      <c r="AD351" s="91">
        <f t="shared" si="141"/>
        <v>4</v>
      </c>
      <c r="AE351" s="91">
        <f t="shared" si="141"/>
        <v>5</v>
      </c>
      <c r="AF351" s="91">
        <f t="shared" si="141"/>
        <v>6</v>
      </c>
      <c r="AG351" s="92">
        <f t="shared" si="141"/>
        <v>7</v>
      </c>
      <c r="AI351" s="100">
        <v>10</v>
      </c>
      <c r="AJ351" s="94"/>
      <c r="AK351" s="49"/>
    </row>
    <row r="352" spans="1:37" x14ac:dyDescent="0.2">
      <c r="A352" s="14">
        <v>352</v>
      </c>
      <c r="C352" s="101">
        <f>I351+1</f>
        <v>4</v>
      </c>
      <c r="D352" s="91">
        <f t="shared" ref="D352:G355" si="142">C352+1</f>
        <v>5</v>
      </c>
      <c r="E352" s="91">
        <f t="shared" si="142"/>
        <v>6</v>
      </c>
      <c r="F352" s="91">
        <f t="shared" si="142"/>
        <v>7</v>
      </c>
      <c r="G352" s="91">
        <f t="shared" si="142"/>
        <v>8</v>
      </c>
      <c r="H352" s="91">
        <f t="shared" si="139"/>
        <v>9</v>
      </c>
      <c r="I352" s="92">
        <f t="shared" si="139"/>
        <v>10</v>
      </c>
      <c r="K352" s="93">
        <v>2</v>
      </c>
      <c r="L352" s="103" t="s">
        <v>418</v>
      </c>
      <c r="M352" s="104">
        <v>4</v>
      </c>
      <c r="N352" s="96"/>
      <c r="O352" s="101">
        <f>U351+1</f>
        <v>8</v>
      </c>
      <c r="P352" s="91">
        <f t="shared" si="140"/>
        <v>9</v>
      </c>
      <c r="Q352" s="91">
        <f t="shared" si="140"/>
        <v>10</v>
      </c>
      <c r="R352" s="91">
        <f t="shared" si="140"/>
        <v>11</v>
      </c>
      <c r="S352" s="91">
        <f t="shared" si="140"/>
        <v>12</v>
      </c>
      <c r="T352" s="91">
        <f t="shared" si="140"/>
        <v>13</v>
      </c>
      <c r="U352" s="92">
        <f t="shared" si="140"/>
        <v>14</v>
      </c>
      <c r="W352" s="98">
        <v>7</v>
      </c>
      <c r="X352" s="103" t="s">
        <v>418</v>
      </c>
      <c r="Y352" s="105">
        <v>4</v>
      </c>
      <c r="Z352" s="96"/>
      <c r="AA352" s="101">
        <f>AG351+1</f>
        <v>8</v>
      </c>
      <c r="AB352" s="91">
        <f t="shared" si="141"/>
        <v>9</v>
      </c>
      <c r="AC352" s="91">
        <f t="shared" si="141"/>
        <v>10</v>
      </c>
      <c r="AD352" s="91">
        <f t="shared" si="141"/>
        <v>11</v>
      </c>
      <c r="AE352" s="91">
        <f t="shared" si="141"/>
        <v>12</v>
      </c>
      <c r="AF352" s="91">
        <f t="shared" si="141"/>
        <v>13</v>
      </c>
      <c r="AG352" s="92">
        <f t="shared" si="141"/>
        <v>14</v>
      </c>
      <c r="AI352" s="100">
        <v>11</v>
      </c>
      <c r="AJ352" s="103" t="s">
        <v>418</v>
      </c>
      <c r="AK352" s="106">
        <v>5</v>
      </c>
    </row>
    <row r="353" spans="1:37" x14ac:dyDescent="0.2">
      <c r="A353" s="14">
        <v>353</v>
      </c>
      <c r="C353" s="101">
        <f>I352+1</f>
        <v>11</v>
      </c>
      <c r="D353" s="91">
        <f t="shared" si="142"/>
        <v>12</v>
      </c>
      <c r="E353" s="91">
        <f t="shared" si="142"/>
        <v>13</v>
      </c>
      <c r="F353" s="91">
        <f t="shared" si="142"/>
        <v>14</v>
      </c>
      <c r="G353" s="91">
        <f t="shared" si="142"/>
        <v>15</v>
      </c>
      <c r="H353" s="91">
        <f t="shared" si="139"/>
        <v>16</v>
      </c>
      <c r="I353" s="92">
        <f t="shared" si="139"/>
        <v>17</v>
      </c>
      <c r="K353" s="93">
        <v>3</v>
      </c>
      <c r="L353" s="103" t="s">
        <v>425</v>
      </c>
      <c r="M353" s="104">
        <v>5</v>
      </c>
      <c r="N353" s="96"/>
      <c r="O353" s="101">
        <f>U352+1</f>
        <v>15</v>
      </c>
      <c r="P353" s="91">
        <f t="shared" si="140"/>
        <v>16</v>
      </c>
      <c r="Q353" s="91">
        <f t="shared" si="140"/>
        <v>17</v>
      </c>
      <c r="R353" s="91">
        <f t="shared" si="140"/>
        <v>18</v>
      </c>
      <c r="S353" s="91">
        <f t="shared" si="140"/>
        <v>19</v>
      </c>
      <c r="T353" s="91">
        <f t="shared" si="140"/>
        <v>20</v>
      </c>
      <c r="U353" s="92">
        <f t="shared" si="140"/>
        <v>21</v>
      </c>
      <c r="W353" s="98">
        <v>8</v>
      </c>
      <c r="X353" s="103" t="s">
        <v>425</v>
      </c>
      <c r="Y353" s="105">
        <v>4</v>
      </c>
      <c r="Z353" s="96"/>
      <c r="AA353" s="101">
        <f>AG352+1</f>
        <v>15</v>
      </c>
      <c r="AB353" s="91">
        <f t="shared" si="141"/>
        <v>16</v>
      </c>
      <c r="AC353" s="91">
        <f t="shared" si="141"/>
        <v>17</v>
      </c>
      <c r="AD353" s="91">
        <f t="shared" si="141"/>
        <v>18</v>
      </c>
      <c r="AE353" s="124">
        <f t="shared" si="141"/>
        <v>19</v>
      </c>
      <c r="AF353" s="131">
        <f t="shared" si="141"/>
        <v>20</v>
      </c>
      <c r="AG353" s="92">
        <f t="shared" si="141"/>
        <v>21</v>
      </c>
      <c r="AI353" s="100">
        <v>12</v>
      </c>
      <c r="AJ353" s="103" t="s">
        <v>425</v>
      </c>
      <c r="AK353" s="106">
        <v>4</v>
      </c>
    </row>
    <row r="354" spans="1:37" x14ac:dyDescent="0.2">
      <c r="A354" s="14">
        <v>354</v>
      </c>
      <c r="C354" s="101">
        <f>I353+1</f>
        <v>18</v>
      </c>
      <c r="D354" s="91">
        <f t="shared" si="142"/>
        <v>19</v>
      </c>
      <c r="E354" s="91">
        <f t="shared" si="142"/>
        <v>20</v>
      </c>
      <c r="F354" s="91">
        <f t="shared" si="142"/>
        <v>21</v>
      </c>
      <c r="G354" s="91">
        <f t="shared" si="142"/>
        <v>22</v>
      </c>
      <c r="H354" s="91">
        <f t="shared" si="139"/>
        <v>23</v>
      </c>
      <c r="I354" s="92">
        <f t="shared" si="139"/>
        <v>24</v>
      </c>
      <c r="K354" s="93">
        <v>4</v>
      </c>
      <c r="L354" s="103" t="s">
        <v>878</v>
      </c>
      <c r="M354" s="104">
        <v>31</v>
      </c>
      <c r="N354" s="96"/>
      <c r="O354" s="101">
        <f>U353+1</f>
        <v>22</v>
      </c>
      <c r="P354" s="91">
        <f t="shared" si="140"/>
        <v>23</v>
      </c>
      <c r="Q354" s="91">
        <f t="shared" si="140"/>
        <v>24</v>
      </c>
      <c r="R354" s="91">
        <f t="shared" si="140"/>
        <v>25</v>
      </c>
      <c r="S354" s="91">
        <f t="shared" si="140"/>
        <v>26</v>
      </c>
      <c r="T354" s="91">
        <f t="shared" si="140"/>
        <v>27</v>
      </c>
      <c r="U354" s="92">
        <f t="shared" si="140"/>
        <v>28</v>
      </c>
      <c r="W354" s="98">
        <v>9</v>
      </c>
      <c r="X354" s="103" t="s">
        <v>878</v>
      </c>
      <c r="Y354" s="105">
        <v>28</v>
      </c>
      <c r="Z354" s="96"/>
      <c r="AA354" s="101">
        <f>AG353+1</f>
        <v>22</v>
      </c>
      <c r="AB354" s="91">
        <f t="shared" ref="AB354:AG354" si="143">AA354+1</f>
        <v>23</v>
      </c>
      <c r="AC354" s="91">
        <f t="shared" si="143"/>
        <v>24</v>
      </c>
      <c r="AD354" s="134">
        <f t="shared" si="143"/>
        <v>25</v>
      </c>
      <c r="AE354" s="91">
        <f t="shared" si="143"/>
        <v>26</v>
      </c>
      <c r="AF354" s="91">
        <f t="shared" si="143"/>
        <v>27</v>
      </c>
      <c r="AG354" s="92">
        <f t="shared" si="143"/>
        <v>28</v>
      </c>
      <c r="AI354" s="100">
        <v>13</v>
      </c>
      <c r="AJ354" s="103" t="s">
        <v>878</v>
      </c>
      <c r="AK354" s="106">
        <v>31</v>
      </c>
    </row>
    <row r="355" spans="1:37" x14ac:dyDescent="0.2">
      <c r="A355" s="14">
        <v>355</v>
      </c>
      <c r="C355" s="101">
        <f>I354+1</f>
        <v>25</v>
      </c>
      <c r="D355" s="91">
        <f t="shared" si="142"/>
        <v>26</v>
      </c>
      <c r="E355" s="91">
        <f t="shared" si="142"/>
        <v>27</v>
      </c>
      <c r="F355" s="91">
        <f t="shared" si="142"/>
        <v>28</v>
      </c>
      <c r="G355" s="91">
        <f t="shared" si="142"/>
        <v>29</v>
      </c>
      <c r="H355" s="91">
        <f t="shared" si="139"/>
        <v>30</v>
      </c>
      <c r="I355" s="92">
        <f t="shared" si="139"/>
        <v>31</v>
      </c>
      <c r="K355" s="93">
        <v>5</v>
      </c>
      <c r="L355" s="107"/>
      <c r="M355" s="108"/>
      <c r="N355" s="96"/>
      <c r="O355" s="101"/>
      <c r="P355" s="91"/>
      <c r="Q355" s="113"/>
      <c r="R355" s="113"/>
      <c r="S355" s="113"/>
      <c r="T355" s="113"/>
      <c r="U355" s="114"/>
      <c r="W355" s="98"/>
      <c r="X355" s="107"/>
      <c r="Y355" s="109"/>
      <c r="Z355" s="96"/>
      <c r="AA355" s="101">
        <f>AG354+1</f>
        <v>29</v>
      </c>
      <c r="AB355" s="91">
        <f>AA355+1</f>
        <v>30</v>
      </c>
      <c r="AC355" s="416">
        <f>AB355+1</f>
        <v>31</v>
      </c>
      <c r="AD355" s="113"/>
      <c r="AE355" s="113"/>
      <c r="AF355" s="113"/>
      <c r="AG355" s="114"/>
      <c r="AI355" s="100">
        <v>14</v>
      </c>
      <c r="AJ355" s="111"/>
      <c r="AK355" s="112"/>
    </row>
    <row r="356" spans="1:37" x14ac:dyDescent="0.2">
      <c r="A356" s="14">
        <v>356</v>
      </c>
      <c r="C356" s="101"/>
      <c r="D356" s="91"/>
      <c r="E356" s="91"/>
      <c r="F356" s="113"/>
      <c r="G356" s="113"/>
      <c r="H356" s="113"/>
      <c r="I356" s="114"/>
      <c r="K356" s="93"/>
      <c r="L356" s="107"/>
      <c r="M356" s="115"/>
      <c r="N356" s="96"/>
      <c r="O356" s="101"/>
      <c r="P356" s="91"/>
      <c r="Q356" s="113"/>
      <c r="R356" s="113"/>
      <c r="S356" s="113"/>
      <c r="T356" s="113"/>
      <c r="U356" s="114"/>
      <c r="W356" s="98"/>
      <c r="X356" s="107"/>
      <c r="Y356" s="96"/>
      <c r="Z356" s="96"/>
      <c r="AA356" s="101"/>
      <c r="AB356" s="91"/>
      <c r="AC356" s="113"/>
      <c r="AD356" s="113"/>
      <c r="AE356" s="113"/>
      <c r="AF356" s="113"/>
      <c r="AG356" s="114"/>
      <c r="AI356" s="100"/>
      <c r="AJ356" s="111"/>
      <c r="AK356" s="4"/>
    </row>
    <row r="357" spans="1:37" x14ac:dyDescent="0.2">
      <c r="A357" s="14">
        <v>357</v>
      </c>
      <c r="C357" s="88"/>
      <c r="D357" s="88"/>
      <c r="E357" s="88"/>
      <c r="F357" s="88"/>
      <c r="G357" s="88"/>
      <c r="H357" s="88"/>
      <c r="I357" s="88"/>
      <c r="K357" s="117"/>
      <c r="L357" s="111"/>
      <c r="M357" s="118"/>
      <c r="N357" s="4"/>
      <c r="O357" s="4"/>
      <c r="P357" s="4"/>
      <c r="Q357" s="4"/>
      <c r="R357" s="4"/>
      <c r="S357" s="4"/>
      <c r="T357" s="4"/>
      <c r="U357" s="4"/>
      <c r="W357" s="119"/>
      <c r="X357" s="111"/>
      <c r="Y357" s="4"/>
      <c r="Z357" s="4"/>
      <c r="AA357" s="4"/>
      <c r="AB357" s="4"/>
      <c r="AC357" s="4"/>
      <c r="AD357" s="4"/>
      <c r="AE357" s="4"/>
      <c r="AF357" s="4"/>
      <c r="AG357" s="4"/>
      <c r="AI357" s="120"/>
      <c r="AJ357" s="111"/>
      <c r="AK357" s="4"/>
    </row>
    <row r="358" spans="1:37" x14ac:dyDescent="0.2">
      <c r="A358" s="14">
        <v>358</v>
      </c>
      <c r="C358" s="404" t="s">
        <v>990</v>
      </c>
      <c r="D358" s="88"/>
      <c r="E358" s="88"/>
      <c r="F358" s="88"/>
      <c r="G358" s="88"/>
      <c r="H358" s="88"/>
      <c r="I358" s="88"/>
      <c r="K358" s="117"/>
      <c r="L358" s="111"/>
      <c r="M358" s="121"/>
      <c r="N358" s="4"/>
      <c r="O358" s="404" t="s">
        <v>991</v>
      </c>
      <c r="P358" s="88"/>
      <c r="Q358" s="88"/>
      <c r="R358" s="88"/>
      <c r="S358" s="88"/>
      <c r="T358" s="88"/>
      <c r="U358" s="88"/>
      <c r="W358" s="119"/>
      <c r="X358" s="111"/>
      <c r="Y358" s="4"/>
      <c r="Z358" s="4"/>
      <c r="AA358" s="404" t="s">
        <v>992</v>
      </c>
      <c r="AB358" s="88"/>
      <c r="AC358" s="88"/>
      <c r="AD358" s="88"/>
      <c r="AE358" s="88"/>
      <c r="AF358" s="88"/>
      <c r="AG358" s="88"/>
      <c r="AI358" s="120"/>
      <c r="AJ358" s="111"/>
      <c r="AK358" s="4"/>
    </row>
    <row r="359" spans="1:37" x14ac:dyDescent="0.2">
      <c r="A359" s="14">
        <v>359</v>
      </c>
      <c r="C359" s="55" t="s">
        <v>3</v>
      </c>
      <c r="D359" s="55" t="s">
        <v>177</v>
      </c>
      <c r="E359" s="55" t="s">
        <v>178</v>
      </c>
      <c r="F359" s="55" t="s">
        <v>178</v>
      </c>
      <c r="G359" s="55" t="s">
        <v>9</v>
      </c>
      <c r="H359" s="55" t="s">
        <v>857</v>
      </c>
      <c r="I359" s="55" t="s">
        <v>854</v>
      </c>
      <c r="K359" s="56" t="s">
        <v>877</v>
      </c>
      <c r="L359" s="111"/>
      <c r="M359" s="121"/>
      <c r="N359" s="4"/>
      <c r="O359" s="55" t="s">
        <v>3</v>
      </c>
      <c r="P359" s="55" t="s">
        <v>177</v>
      </c>
      <c r="Q359" s="55" t="s">
        <v>178</v>
      </c>
      <c r="R359" s="55" t="s">
        <v>178</v>
      </c>
      <c r="S359" s="55" t="s">
        <v>9</v>
      </c>
      <c r="T359" s="55" t="s">
        <v>857</v>
      </c>
      <c r="U359" s="55" t="s">
        <v>854</v>
      </c>
      <c r="W359" s="56" t="s">
        <v>877</v>
      </c>
      <c r="X359" s="111"/>
      <c r="Y359" s="4"/>
      <c r="Z359" s="4"/>
      <c r="AA359" s="55" t="s">
        <v>3</v>
      </c>
      <c r="AB359" s="55" t="s">
        <v>177</v>
      </c>
      <c r="AC359" s="55" t="s">
        <v>178</v>
      </c>
      <c r="AD359" s="55" t="s">
        <v>178</v>
      </c>
      <c r="AE359" s="55" t="s">
        <v>9</v>
      </c>
      <c r="AF359" s="55" t="s">
        <v>857</v>
      </c>
      <c r="AG359" s="55" t="s">
        <v>854</v>
      </c>
      <c r="AI359" s="56" t="s">
        <v>877</v>
      </c>
      <c r="AJ359" s="111"/>
      <c r="AK359" s="4"/>
    </row>
    <row r="360" spans="1:37" x14ac:dyDescent="0.2">
      <c r="A360" s="14">
        <v>360</v>
      </c>
      <c r="C360" s="58"/>
      <c r="D360" s="91" t="s">
        <v>185</v>
      </c>
      <c r="E360" s="91"/>
      <c r="F360" s="91">
        <f t="shared" ref="F360:I363" si="144">E360+1</f>
        <v>1</v>
      </c>
      <c r="G360" s="91">
        <f t="shared" si="144"/>
        <v>2</v>
      </c>
      <c r="H360" s="91">
        <f t="shared" si="144"/>
        <v>3</v>
      </c>
      <c r="I360" s="92">
        <f t="shared" si="144"/>
        <v>4</v>
      </c>
      <c r="K360" s="122">
        <v>14</v>
      </c>
      <c r="L360" s="94"/>
      <c r="M360" s="123"/>
      <c r="N360" s="4"/>
      <c r="O360" s="58"/>
      <c r="P360" s="97"/>
      <c r="Q360" s="125"/>
      <c r="R360" s="125" t="s">
        <v>185</v>
      </c>
      <c r="S360" s="125"/>
      <c r="T360" s="125">
        <f t="shared" ref="T360:U364" si="145">S360+1</f>
        <v>1</v>
      </c>
      <c r="U360" s="407">
        <f t="shared" si="145"/>
        <v>2</v>
      </c>
      <c r="W360" s="100">
        <v>18</v>
      </c>
      <c r="X360" s="94"/>
      <c r="Y360" s="49"/>
      <c r="Z360" s="4"/>
      <c r="AA360" s="101"/>
      <c r="AB360" s="125">
        <f t="shared" ref="AB360:AG363" si="146">AA360+1</f>
        <v>1</v>
      </c>
      <c r="AC360" s="125">
        <f t="shared" si="146"/>
        <v>2</v>
      </c>
      <c r="AD360" s="125">
        <f t="shared" si="146"/>
        <v>3</v>
      </c>
      <c r="AE360" s="125">
        <f t="shared" si="146"/>
        <v>4</v>
      </c>
      <c r="AF360" s="125">
        <f t="shared" si="146"/>
        <v>5</v>
      </c>
      <c r="AG360" s="92">
        <f t="shared" si="146"/>
        <v>6</v>
      </c>
      <c r="AI360" s="100">
        <v>23</v>
      </c>
      <c r="AJ360" s="94"/>
      <c r="AK360" s="123"/>
    </row>
    <row r="361" spans="1:37" x14ac:dyDescent="0.2">
      <c r="A361" s="14">
        <v>361</v>
      </c>
      <c r="C361" s="101">
        <f>I360+1</f>
        <v>5</v>
      </c>
      <c r="D361" s="91">
        <f t="shared" ref="D361:E364" si="147">C361+1</f>
        <v>6</v>
      </c>
      <c r="E361" s="91">
        <f t="shared" si="147"/>
        <v>7</v>
      </c>
      <c r="F361" s="91">
        <f t="shared" si="144"/>
        <v>8</v>
      </c>
      <c r="G361" s="124">
        <f t="shared" si="144"/>
        <v>9</v>
      </c>
      <c r="H361" s="124">
        <f t="shared" si="144"/>
        <v>10</v>
      </c>
      <c r="I361" s="92">
        <f t="shared" si="144"/>
        <v>11</v>
      </c>
      <c r="K361" s="122">
        <v>15</v>
      </c>
      <c r="L361" s="103" t="s">
        <v>418</v>
      </c>
      <c r="M361" s="126">
        <v>4</v>
      </c>
      <c r="N361" s="4"/>
      <c r="O361" s="406">
        <f>U360+1</f>
        <v>3</v>
      </c>
      <c r="P361" s="125">
        <f t="shared" ref="P361:S364" si="148">O361+1</f>
        <v>4</v>
      </c>
      <c r="Q361" s="125">
        <f t="shared" si="148"/>
        <v>5</v>
      </c>
      <c r="R361" s="125">
        <f t="shared" si="148"/>
        <v>6</v>
      </c>
      <c r="S361" s="125">
        <f t="shared" si="148"/>
        <v>7</v>
      </c>
      <c r="T361" s="125">
        <f t="shared" si="145"/>
        <v>8</v>
      </c>
      <c r="U361" s="92">
        <f t="shared" si="145"/>
        <v>9</v>
      </c>
      <c r="W361" s="100">
        <v>19</v>
      </c>
      <c r="X361" s="103" t="s">
        <v>418</v>
      </c>
      <c r="Y361" s="106">
        <v>5</v>
      </c>
      <c r="Z361" s="4"/>
      <c r="AA361" s="101">
        <f>AG360+1</f>
        <v>7</v>
      </c>
      <c r="AB361" s="125">
        <f t="shared" si="146"/>
        <v>8</v>
      </c>
      <c r="AC361" s="125">
        <f t="shared" si="146"/>
        <v>9</v>
      </c>
      <c r="AD361" s="125">
        <f t="shared" si="146"/>
        <v>10</v>
      </c>
      <c r="AE361" s="125">
        <f t="shared" si="146"/>
        <v>11</v>
      </c>
      <c r="AF361" s="125">
        <f t="shared" si="146"/>
        <v>12</v>
      </c>
      <c r="AG361" s="92">
        <f t="shared" si="146"/>
        <v>13</v>
      </c>
      <c r="AI361" s="100">
        <v>24</v>
      </c>
      <c r="AJ361" s="103" t="s">
        <v>418</v>
      </c>
      <c r="AK361" s="106">
        <v>4</v>
      </c>
    </row>
    <row r="362" spans="1:37" x14ac:dyDescent="0.2">
      <c r="A362" s="14">
        <v>362</v>
      </c>
      <c r="C362" s="101">
        <f>I361+1</f>
        <v>12</v>
      </c>
      <c r="D362" s="91">
        <f t="shared" si="147"/>
        <v>13</v>
      </c>
      <c r="E362" s="91">
        <f t="shared" si="147"/>
        <v>14</v>
      </c>
      <c r="F362" s="91">
        <f t="shared" si="144"/>
        <v>15</v>
      </c>
      <c r="G362" s="91">
        <f t="shared" si="144"/>
        <v>16</v>
      </c>
      <c r="H362" s="91">
        <f t="shared" si="144"/>
        <v>17</v>
      </c>
      <c r="I362" s="92">
        <f t="shared" si="144"/>
        <v>18</v>
      </c>
      <c r="K362" s="122">
        <v>16</v>
      </c>
      <c r="L362" s="103" t="s">
        <v>425</v>
      </c>
      <c r="M362" s="126">
        <v>4</v>
      </c>
      <c r="N362" s="4"/>
      <c r="O362" s="101">
        <f>U361+1</f>
        <v>10</v>
      </c>
      <c r="P362" s="125">
        <f t="shared" si="148"/>
        <v>11</v>
      </c>
      <c r="Q362" s="125">
        <f t="shared" si="148"/>
        <v>12</v>
      </c>
      <c r="R362" s="125">
        <f t="shared" si="148"/>
        <v>13</v>
      </c>
      <c r="S362" s="125">
        <f t="shared" si="148"/>
        <v>14</v>
      </c>
      <c r="T362" s="125">
        <f t="shared" si="145"/>
        <v>15</v>
      </c>
      <c r="U362" s="92">
        <f t="shared" si="145"/>
        <v>16</v>
      </c>
      <c r="W362" s="100">
        <v>20</v>
      </c>
      <c r="X362" s="103" t="s">
        <v>425</v>
      </c>
      <c r="Y362" s="106">
        <v>5</v>
      </c>
      <c r="Z362" s="4"/>
      <c r="AA362" s="101">
        <f>AG361+1</f>
        <v>14</v>
      </c>
      <c r="AB362" s="125">
        <f t="shared" si="146"/>
        <v>15</v>
      </c>
      <c r="AC362" s="97">
        <f t="shared" si="146"/>
        <v>16</v>
      </c>
      <c r="AD362" s="130">
        <f t="shared" si="146"/>
        <v>17</v>
      </c>
      <c r="AE362" s="130">
        <f t="shared" si="146"/>
        <v>18</v>
      </c>
      <c r="AF362" s="97">
        <f t="shared" si="146"/>
        <v>19</v>
      </c>
      <c r="AG362" s="92">
        <f t="shared" si="146"/>
        <v>20</v>
      </c>
      <c r="AI362" s="100">
        <v>25</v>
      </c>
      <c r="AJ362" s="103" t="s">
        <v>425</v>
      </c>
      <c r="AK362" s="106">
        <v>4</v>
      </c>
    </row>
    <row r="363" spans="1:37" x14ac:dyDescent="0.2">
      <c r="A363" s="14">
        <v>363</v>
      </c>
      <c r="C363" s="101">
        <f>I362+1</f>
        <v>19</v>
      </c>
      <c r="D363" s="131">
        <f t="shared" si="147"/>
        <v>20</v>
      </c>
      <c r="E363" s="97">
        <f t="shared" si="147"/>
        <v>21</v>
      </c>
      <c r="F363" s="97">
        <f t="shared" si="144"/>
        <v>22</v>
      </c>
      <c r="G363" s="91">
        <f t="shared" si="144"/>
        <v>23</v>
      </c>
      <c r="H363" s="91">
        <f t="shared" si="144"/>
        <v>24</v>
      </c>
      <c r="I363" s="92">
        <f t="shared" si="144"/>
        <v>25</v>
      </c>
      <c r="K363" s="122">
        <v>17</v>
      </c>
      <c r="L363" s="103" t="s">
        <v>878</v>
      </c>
      <c r="M363" s="126">
        <v>30</v>
      </c>
      <c r="N363" s="4"/>
      <c r="O363" s="101">
        <f>U362+1</f>
        <v>17</v>
      </c>
      <c r="P363" s="125">
        <f t="shared" si="148"/>
        <v>18</v>
      </c>
      <c r="Q363" s="125">
        <f t="shared" si="148"/>
        <v>19</v>
      </c>
      <c r="R363" s="125">
        <f t="shared" si="148"/>
        <v>20</v>
      </c>
      <c r="S363" s="125">
        <f t="shared" si="148"/>
        <v>21</v>
      </c>
      <c r="T363" s="125">
        <f t="shared" si="145"/>
        <v>22</v>
      </c>
      <c r="U363" s="92">
        <f t="shared" si="145"/>
        <v>23</v>
      </c>
      <c r="W363" s="100">
        <v>21</v>
      </c>
      <c r="X363" s="103" t="s">
        <v>878</v>
      </c>
      <c r="Y363" s="106">
        <v>31</v>
      </c>
      <c r="Z363" s="4"/>
      <c r="AA363" s="101">
        <f>AG362+1</f>
        <v>21</v>
      </c>
      <c r="AB363" s="125">
        <f t="shared" si="146"/>
        <v>22</v>
      </c>
      <c r="AC363" s="130">
        <f t="shared" si="146"/>
        <v>23</v>
      </c>
      <c r="AD363" s="125">
        <f t="shared" si="146"/>
        <v>24</v>
      </c>
      <c r="AE363" s="125">
        <f t="shared" si="146"/>
        <v>25</v>
      </c>
      <c r="AF363" s="125">
        <f t="shared" si="146"/>
        <v>26</v>
      </c>
      <c r="AG363" s="92">
        <f t="shared" si="146"/>
        <v>27</v>
      </c>
      <c r="AI363" s="100">
        <v>26</v>
      </c>
      <c r="AJ363" s="103" t="s">
        <v>878</v>
      </c>
      <c r="AK363" s="106">
        <v>30</v>
      </c>
    </row>
    <row r="364" spans="1:37" x14ac:dyDescent="0.2">
      <c r="A364" s="14">
        <v>364</v>
      </c>
      <c r="C364" s="101">
        <f>I363+1</f>
        <v>26</v>
      </c>
      <c r="D364" s="91">
        <f t="shared" si="147"/>
        <v>27</v>
      </c>
      <c r="E364" s="91">
        <f t="shared" si="147"/>
        <v>28</v>
      </c>
      <c r="F364" s="91">
        <f>E364+1</f>
        <v>29</v>
      </c>
      <c r="G364" s="91">
        <f>F364+1</f>
        <v>30</v>
      </c>
      <c r="H364" s="91"/>
      <c r="I364" s="92"/>
      <c r="K364" s="122">
        <v>18</v>
      </c>
      <c r="L364" s="111"/>
      <c r="M364" s="127"/>
      <c r="N364" s="4"/>
      <c r="O364" s="101">
        <f>U363+1</f>
        <v>24</v>
      </c>
      <c r="P364" s="125">
        <f t="shared" si="148"/>
        <v>25</v>
      </c>
      <c r="Q364" s="125">
        <f t="shared" si="148"/>
        <v>26</v>
      </c>
      <c r="R364" s="125">
        <f t="shared" si="148"/>
        <v>27</v>
      </c>
      <c r="S364" s="125">
        <f t="shared" si="148"/>
        <v>28</v>
      </c>
      <c r="T364" s="125">
        <f t="shared" si="145"/>
        <v>29</v>
      </c>
      <c r="U364" s="92">
        <f t="shared" si="145"/>
        <v>30</v>
      </c>
      <c r="W364" s="100">
        <v>22</v>
      </c>
      <c r="X364" s="111"/>
      <c r="Y364" s="128"/>
      <c r="Z364" s="4"/>
      <c r="AA364" s="101">
        <f>AG363+1</f>
        <v>28</v>
      </c>
      <c r="AB364" s="125">
        <f>AA364+1</f>
        <v>29</v>
      </c>
      <c r="AC364" s="125">
        <f>AB364+1</f>
        <v>30</v>
      </c>
      <c r="AD364" s="129"/>
      <c r="AE364" s="129"/>
      <c r="AF364" s="129"/>
      <c r="AG364" s="114"/>
      <c r="AI364" s="100">
        <v>27</v>
      </c>
      <c r="AJ364" s="111"/>
      <c r="AK364" s="112"/>
    </row>
    <row r="365" spans="1:37" x14ac:dyDescent="0.2">
      <c r="A365" s="14">
        <v>365</v>
      </c>
      <c r="C365" s="101"/>
      <c r="D365" s="91"/>
      <c r="E365" s="113"/>
      <c r="F365" s="113"/>
      <c r="G365" s="113"/>
      <c r="H365" s="113"/>
      <c r="I365" s="114"/>
      <c r="K365" s="122"/>
      <c r="L365" s="111"/>
      <c r="M365" s="121"/>
      <c r="N365" s="4"/>
      <c r="O365" s="101">
        <f>U364+1</f>
        <v>31</v>
      </c>
      <c r="P365" s="125"/>
      <c r="Q365" s="401"/>
      <c r="R365" s="401"/>
      <c r="S365" s="401"/>
      <c r="T365" s="129"/>
      <c r="U365" s="114"/>
      <c r="W365" s="100">
        <v>23</v>
      </c>
      <c r="X365" s="111"/>
      <c r="Y365" s="4"/>
      <c r="Z365" s="4"/>
      <c r="AA365" s="101"/>
      <c r="AB365" s="125"/>
      <c r="AC365" s="125"/>
      <c r="AD365" s="129"/>
      <c r="AE365" s="129"/>
      <c r="AF365" s="129"/>
      <c r="AG365" s="114"/>
      <c r="AI365" s="100"/>
      <c r="AJ365" s="111"/>
      <c r="AK365" s="4"/>
    </row>
    <row r="366" spans="1:37" x14ac:dyDescent="0.2">
      <c r="A366" s="14">
        <v>366</v>
      </c>
      <c r="C366" s="88"/>
      <c r="D366" s="88"/>
      <c r="E366" s="88"/>
      <c r="F366" s="88"/>
      <c r="G366" s="88"/>
      <c r="H366" s="88"/>
      <c r="I366" s="88"/>
      <c r="K366" s="117"/>
      <c r="L366" s="111"/>
      <c r="M366" s="121"/>
      <c r="N366" s="4"/>
      <c r="O366" s="88"/>
      <c r="P366" s="88"/>
      <c r="Q366" s="88"/>
      <c r="R366" s="88"/>
      <c r="S366" s="88"/>
      <c r="T366" s="88"/>
      <c r="U366" s="88"/>
      <c r="W366" s="119"/>
      <c r="X366" s="111"/>
      <c r="Y366" s="4"/>
      <c r="Z366" s="4"/>
      <c r="AA366" s="4"/>
      <c r="AB366" s="4"/>
      <c r="AC366" s="4"/>
      <c r="AD366" s="4"/>
      <c r="AE366" s="4"/>
      <c r="AF366" s="4"/>
      <c r="AG366" s="4"/>
      <c r="AI366" s="120"/>
      <c r="AJ366" s="111"/>
      <c r="AK366" s="4"/>
    </row>
    <row r="367" spans="1:37" x14ac:dyDescent="0.2">
      <c r="A367" s="14">
        <v>367</v>
      </c>
      <c r="C367" s="404" t="s">
        <v>993</v>
      </c>
      <c r="D367" s="88"/>
      <c r="E367" s="88"/>
      <c r="F367" s="88"/>
      <c r="G367" s="88"/>
      <c r="H367" s="88"/>
      <c r="I367" s="88"/>
      <c r="K367" s="117"/>
      <c r="L367" s="111"/>
      <c r="M367" s="121"/>
      <c r="N367" s="4"/>
      <c r="O367" s="404" t="s">
        <v>994</v>
      </c>
      <c r="P367" s="88"/>
      <c r="Q367" s="88"/>
      <c r="R367" s="88"/>
      <c r="S367" s="88"/>
      <c r="T367" s="88"/>
      <c r="U367" s="88"/>
      <c r="W367" s="119"/>
      <c r="X367" s="111"/>
      <c r="Y367" s="4"/>
      <c r="Z367" s="4"/>
      <c r="AA367" s="404" t="s">
        <v>995</v>
      </c>
      <c r="AB367" s="88"/>
      <c r="AC367" s="88"/>
      <c r="AD367" s="88"/>
      <c r="AE367" s="88"/>
      <c r="AF367" s="88"/>
      <c r="AG367" s="88"/>
      <c r="AI367" s="120"/>
      <c r="AJ367" s="111"/>
      <c r="AK367" s="4"/>
    </row>
    <row r="368" spans="1:37" x14ac:dyDescent="0.2">
      <c r="A368" s="14">
        <v>368</v>
      </c>
      <c r="C368" s="55" t="s">
        <v>3</v>
      </c>
      <c r="D368" s="55" t="s">
        <v>177</v>
      </c>
      <c r="E368" s="55" t="s">
        <v>178</v>
      </c>
      <c r="F368" s="55" t="s">
        <v>178</v>
      </c>
      <c r="G368" s="55" t="s">
        <v>9</v>
      </c>
      <c r="H368" s="55" t="s">
        <v>857</v>
      </c>
      <c r="I368" s="55" t="s">
        <v>854</v>
      </c>
      <c r="K368" s="56" t="s">
        <v>877</v>
      </c>
      <c r="L368" s="111"/>
      <c r="M368" s="121"/>
      <c r="N368" s="4"/>
      <c r="O368" s="55" t="s">
        <v>3</v>
      </c>
      <c r="P368" s="55" t="s">
        <v>177</v>
      </c>
      <c r="Q368" s="55" t="s">
        <v>178</v>
      </c>
      <c r="R368" s="55" t="s">
        <v>178</v>
      </c>
      <c r="S368" s="55" t="s">
        <v>9</v>
      </c>
      <c r="T368" s="55" t="s">
        <v>857</v>
      </c>
      <c r="U368" s="55" t="s">
        <v>854</v>
      </c>
      <c r="W368" s="56" t="s">
        <v>877</v>
      </c>
      <c r="X368" s="111"/>
      <c r="Y368" s="4"/>
      <c r="Z368" s="4"/>
      <c r="AA368" s="55" t="s">
        <v>3</v>
      </c>
      <c r="AB368" s="55" t="s">
        <v>177</v>
      </c>
      <c r="AC368" s="55" t="s">
        <v>178</v>
      </c>
      <c r="AD368" s="55" t="s">
        <v>178</v>
      </c>
      <c r="AE368" s="55" t="s">
        <v>9</v>
      </c>
      <c r="AF368" s="55" t="s">
        <v>857</v>
      </c>
      <c r="AG368" s="55" t="s">
        <v>854</v>
      </c>
      <c r="AI368" s="56" t="s">
        <v>877</v>
      </c>
      <c r="AJ368" s="111"/>
      <c r="AK368" s="4"/>
    </row>
    <row r="369" spans="1:37" x14ac:dyDescent="0.2">
      <c r="A369" s="14">
        <v>369</v>
      </c>
      <c r="C369" s="58"/>
      <c r="D369" s="408" t="s">
        <v>185</v>
      </c>
      <c r="E369" s="130"/>
      <c r="F369" s="97">
        <f t="shared" ref="F369:I372" si="149">E369+1</f>
        <v>1</v>
      </c>
      <c r="G369" s="97">
        <f t="shared" si="149"/>
        <v>2</v>
      </c>
      <c r="H369" s="125">
        <f t="shared" si="149"/>
        <v>3</v>
      </c>
      <c r="I369" s="407">
        <f t="shared" si="149"/>
        <v>4</v>
      </c>
      <c r="K369" s="122">
        <v>27</v>
      </c>
      <c r="L369" s="94"/>
      <c r="M369" s="123"/>
      <c r="N369" s="4"/>
      <c r="O369" s="101"/>
      <c r="P369" s="125"/>
      <c r="Q369" s="125"/>
      <c r="R369" s="125"/>
      <c r="S369" s="125" t="s">
        <v>185</v>
      </c>
      <c r="T369" s="125"/>
      <c r="U369" s="92">
        <f>T369+1</f>
        <v>1</v>
      </c>
      <c r="W369" s="100">
        <v>31</v>
      </c>
      <c r="X369" s="94"/>
      <c r="Y369" s="49"/>
      <c r="Z369" s="4"/>
      <c r="AA369" s="414" t="s">
        <v>185</v>
      </c>
      <c r="AB369" s="125" t="s">
        <v>185</v>
      </c>
      <c r="AC369" s="125">
        <v>1</v>
      </c>
      <c r="AD369" s="125">
        <f t="shared" ref="AD369:AG371" si="150">AC369+1</f>
        <v>2</v>
      </c>
      <c r="AE369" s="125">
        <f t="shared" si="150"/>
        <v>3</v>
      </c>
      <c r="AF369" s="125">
        <f t="shared" si="150"/>
        <v>4</v>
      </c>
      <c r="AG369" s="92">
        <f t="shared" si="150"/>
        <v>5</v>
      </c>
      <c r="AI369" s="100">
        <v>36</v>
      </c>
      <c r="AJ369" s="94"/>
      <c r="AK369" s="49"/>
    </row>
    <row r="370" spans="1:37" x14ac:dyDescent="0.2">
      <c r="A370" s="14">
        <v>370</v>
      </c>
      <c r="C370" s="101">
        <f>I369+1</f>
        <v>5</v>
      </c>
      <c r="D370" s="130">
        <f t="shared" ref="D370:E373" si="151">C370+1</f>
        <v>6</v>
      </c>
      <c r="E370" s="97">
        <f t="shared" si="151"/>
        <v>7</v>
      </c>
      <c r="F370" s="97">
        <f t="shared" si="149"/>
        <v>8</v>
      </c>
      <c r="G370" s="125">
        <f t="shared" si="149"/>
        <v>9</v>
      </c>
      <c r="H370" s="125">
        <f t="shared" si="149"/>
        <v>10</v>
      </c>
      <c r="I370" s="92">
        <f t="shared" si="149"/>
        <v>11</v>
      </c>
      <c r="K370" s="122">
        <v>28</v>
      </c>
      <c r="L370" s="103" t="s">
        <v>418</v>
      </c>
      <c r="M370" s="126">
        <v>4</v>
      </c>
      <c r="N370" s="4"/>
      <c r="O370" s="101">
        <f>U369+1</f>
        <v>2</v>
      </c>
      <c r="P370" s="125">
        <f t="shared" ref="P370:T372" si="152">O370+1</f>
        <v>3</v>
      </c>
      <c r="Q370" s="125">
        <f t="shared" si="152"/>
        <v>4</v>
      </c>
      <c r="R370" s="125">
        <f t="shared" si="152"/>
        <v>5</v>
      </c>
      <c r="S370" s="125">
        <f t="shared" si="152"/>
        <v>6</v>
      </c>
      <c r="T370" s="125">
        <f t="shared" si="152"/>
        <v>7</v>
      </c>
      <c r="U370" s="92">
        <f>T370+1</f>
        <v>8</v>
      </c>
      <c r="W370" s="100">
        <v>32</v>
      </c>
      <c r="X370" s="103" t="s">
        <v>418</v>
      </c>
      <c r="Y370" s="106">
        <v>5</v>
      </c>
      <c r="Z370" s="4"/>
      <c r="AA370" s="101">
        <f>AG369+1</f>
        <v>6</v>
      </c>
      <c r="AB370" s="125">
        <f>AA370+1</f>
        <v>7</v>
      </c>
      <c r="AC370" s="125">
        <f>AB370+1</f>
        <v>8</v>
      </c>
      <c r="AD370" s="125">
        <f t="shared" si="150"/>
        <v>9</v>
      </c>
      <c r="AE370" s="125">
        <f t="shared" si="150"/>
        <v>10</v>
      </c>
      <c r="AF370" s="125">
        <f t="shared" si="150"/>
        <v>11</v>
      </c>
      <c r="AG370" s="92">
        <f t="shared" si="150"/>
        <v>12</v>
      </c>
      <c r="AI370" s="100">
        <v>37</v>
      </c>
      <c r="AJ370" s="103" t="s">
        <v>418</v>
      </c>
      <c r="AK370" s="106">
        <v>4</v>
      </c>
    </row>
    <row r="371" spans="1:37" x14ac:dyDescent="0.2">
      <c r="A371" s="14">
        <v>371</v>
      </c>
      <c r="C371" s="101">
        <f>I370+1</f>
        <v>12</v>
      </c>
      <c r="D371" s="125">
        <f t="shared" si="151"/>
        <v>13</v>
      </c>
      <c r="E371" s="125">
        <f t="shared" si="151"/>
        <v>14</v>
      </c>
      <c r="F371" s="125">
        <f t="shared" si="149"/>
        <v>15</v>
      </c>
      <c r="G371" s="125">
        <f t="shared" si="149"/>
        <v>16</v>
      </c>
      <c r="H371" s="125">
        <f t="shared" si="149"/>
        <v>17</v>
      </c>
      <c r="I371" s="92">
        <f t="shared" si="149"/>
        <v>18</v>
      </c>
      <c r="K371" s="122">
        <v>29</v>
      </c>
      <c r="L371" s="103" t="s">
        <v>425</v>
      </c>
      <c r="M371" s="126">
        <v>4</v>
      </c>
      <c r="N371" s="4"/>
      <c r="O371" s="101">
        <f>U370+1</f>
        <v>9</v>
      </c>
      <c r="P371" s="125">
        <f t="shared" si="152"/>
        <v>10</v>
      </c>
      <c r="Q371" s="125">
        <f t="shared" si="152"/>
        <v>11</v>
      </c>
      <c r="R371" s="125">
        <f t="shared" si="152"/>
        <v>12</v>
      </c>
      <c r="S371" s="125">
        <f t="shared" si="152"/>
        <v>13</v>
      </c>
      <c r="T371" s="125">
        <f t="shared" si="152"/>
        <v>14</v>
      </c>
      <c r="U371" s="92">
        <f>T371+1</f>
        <v>15</v>
      </c>
      <c r="W371" s="100">
        <v>33</v>
      </c>
      <c r="X371" s="103" t="s">
        <v>425</v>
      </c>
      <c r="Y371" s="106">
        <v>5</v>
      </c>
      <c r="Z371" s="4"/>
      <c r="AA371" s="101">
        <f>AG370+1</f>
        <v>13</v>
      </c>
      <c r="AB371" s="125">
        <f>AA371+1</f>
        <v>14</v>
      </c>
      <c r="AC371" s="125">
        <f>AB371+1</f>
        <v>15</v>
      </c>
      <c r="AD371" s="125">
        <f t="shared" si="150"/>
        <v>16</v>
      </c>
      <c r="AE371" s="125">
        <f t="shared" si="150"/>
        <v>17</v>
      </c>
      <c r="AF371" s="125">
        <f t="shared" si="150"/>
        <v>18</v>
      </c>
      <c r="AG371" s="92">
        <f t="shared" si="150"/>
        <v>19</v>
      </c>
      <c r="AI371" s="100">
        <v>38</v>
      </c>
      <c r="AJ371" s="103" t="s">
        <v>425</v>
      </c>
      <c r="AK371" s="106">
        <v>4</v>
      </c>
    </row>
    <row r="372" spans="1:37" x14ac:dyDescent="0.2">
      <c r="A372" s="14">
        <v>372</v>
      </c>
      <c r="C372" s="101">
        <f>I371+1</f>
        <v>19</v>
      </c>
      <c r="D372" s="125">
        <f t="shared" si="151"/>
        <v>20</v>
      </c>
      <c r="E372" s="125">
        <f t="shared" si="151"/>
        <v>21</v>
      </c>
      <c r="F372" s="125">
        <f t="shared" si="149"/>
        <v>22</v>
      </c>
      <c r="G372" s="134">
        <f t="shared" si="149"/>
        <v>23</v>
      </c>
      <c r="H372" s="124">
        <f t="shared" si="149"/>
        <v>24</v>
      </c>
      <c r="I372" s="92">
        <f t="shared" si="149"/>
        <v>25</v>
      </c>
      <c r="K372" s="122">
        <v>30</v>
      </c>
      <c r="L372" s="103" t="s">
        <v>878</v>
      </c>
      <c r="M372" s="126">
        <v>31</v>
      </c>
      <c r="N372" s="4"/>
      <c r="O372" s="101">
        <f>U371+1</f>
        <v>16</v>
      </c>
      <c r="P372" s="125">
        <f t="shared" si="152"/>
        <v>17</v>
      </c>
      <c r="Q372" s="125">
        <f t="shared" si="152"/>
        <v>18</v>
      </c>
      <c r="R372" s="125">
        <f t="shared" si="152"/>
        <v>19</v>
      </c>
      <c r="S372" s="125">
        <f t="shared" si="152"/>
        <v>20</v>
      </c>
      <c r="T372" s="125">
        <f t="shared" si="152"/>
        <v>21</v>
      </c>
      <c r="U372" s="92">
        <f>T372+1</f>
        <v>22</v>
      </c>
      <c r="W372" s="100">
        <v>34</v>
      </c>
      <c r="X372" s="103" t="s">
        <v>878</v>
      </c>
      <c r="Y372" s="106">
        <v>31</v>
      </c>
      <c r="Z372" s="4"/>
      <c r="AA372" s="101">
        <f>AG371+1</f>
        <v>20</v>
      </c>
      <c r="AB372" s="125">
        <f t="shared" ref="AB372:AG372" si="153">AA372+1</f>
        <v>21</v>
      </c>
      <c r="AC372" s="125">
        <f t="shared" si="153"/>
        <v>22</v>
      </c>
      <c r="AD372" s="125">
        <f t="shared" si="153"/>
        <v>23</v>
      </c>
      <c r="AE372" s="125">
        <f t="shared" si="153"/>
        <v>24</v>
      </c>
      <c r="AF372" s="125">
        <f t="shared" si="153"/>
        <v>25</v>
      </c>
      <c r="AG372" s="92">
        <f t="shared" si="153"/>
        <v>26</v>
      </c>
      <c r="AI372" s="100">
        <v>39</v>
      </c>
      <c r="AJ372" s="103" t="s">
        <v>878</v>
      </c>
      <c r="AK372" s="106">
        <v>30</v>
      </c>
    </row>
    <row r="373" spans="1:37" x14ac:dyDescent="0.2">
      <c r="A373" s="14">
        <v>373</v>
      </c>
      <c r="C373" s="101">
        <f>I372+1</f>
        <v>26</v>
      </c>
      <c r="D373" s="134">
        <f t="shared" si="151"/>
        <v>27</v>
      </c>
      <c r="E373" s="125">
        <f t="shared" si="151"/>
        <v>28</v>
      </c>
      <c r="F373" s="125">
        <f>E373+1</f>
        <v>29</v>
      </c>
      <c r="G373" s="125">
        <f>F373+1</f>
        <v>30</v>
      </c>
      <c r="H373" s="125">
        <f>G373+1</f>
        <v>31</v>
      </c>
      <c r="I373" s="92"/>
      <c r="K373" s="122">
        <v>31</v>
      </c>
      <c r="L373" s="111"/>
      <c r="M373" s="127"/>
      <c r="N373" s="4"/>
      <c r="O373" s="101">
        <f>U372+1</f>
        <v>23</v>
      </c>
      <c r="P373" s="125">
        <f t="shared" ref="P373:U373" si="154">O373+1</f>
        <v>24</v>
      </c>
      <c r="Q373" s="125">
        <f t="shared" si="154"/>
        <v>25</v>
      </c>
      <c r="R373" s="125">
        <f t="shared" si="154"/>
        <v>26</v>
      </c>
      <c r="S373" s="125">
        <f t="shared" si="154"/>
        <v>27</v>
      </c>
      <c r="T373" s="125">
        <f t="shared" si="154"/>
        <v>28</v>
      </c>
      <c r="U373" s="92">
        <f t="shared" si="154"/>
        <v>29</v>
      </c>
      <c r="W373" s="100">
        <v>35</v>
      </c>
      <c r="X373" s="111"/>
      <c r="Y373" s="112"/>
      <c r="Z373" s="4"/>
      <c r="AA373" s="101">
        <f>AG372+1</f>
        <v>27</v>
      </c>
      <c r="AB373" s="125">
        <f>AA373+1</f>
        <v>28</v>
      </c>
      <c r="AC373" s="125">
        <f>AB373+1</f>
        <v>29</v>
      </c>
      <c r="AD373" s="415">
        <f>AC373+1</f>
        <v>30</v>
      </c>
      <c r="AE373" s="129"/>
      <c r="AF373" s="129"/>
      <c r="AG373" s="114"/>
      <c r="AI373" s="413">
        <v>40</v>
      </c>
      <c r="AJ373" s="111"/>
      <c r="AK373" s="112"/>
    </row>
    <row r="374" spans="1:37" x14ac:dyDescent="0.2">
      <c r="A374" s="14">
        <v>374</v>
      </c>
      <c r="C374" s="101"/>
      <c r="D374" s="125"/>
      <c r="E374" s="401"/>
      <c r="F374" s="129"/>
      <c r="G374" s="129"/>
      <c r="H374" s="129"/>
      <c r="I374" s="114"/>
      <c r="K374" s="122"/>
      <c r="L374" s="111"/>
      <c r="M374" s="121"/>
      <c r="N374" s="4"/>
      <c r="O374" s="101">
        <f>U373+1</f>
        <v>30</v>
      </c>
      <c r="P374" s="125">
        <f>O374+1</f>
        <v>31</v>
      </c>
      <c r="Q374" s="125"/>
      <c r="R374" s="125"/>
      <c r="S374" s="125"/>
      <c r="T374" s="125"/>
      <c r="U374" s="92"/>
      <c r="W374" s="100">
        <v>36</v>
      </c>
      <c r="X374" s="111"/>
      <c r="Y374" s="4"/>
      <c r="Z374" s="4"/>
      <c r="AA374" s="101"/>
      <c r="AB374" s="125"/>
      <c r="AC374" s="125"/>
      <c r="AD374" s="129"/>
      <c r="AE374" s="129"/>
      <c r="AF374" s="129"/>
      <c r="AG374" s="114"/>
      <c r="AI374" s="413"/>
      <c r="AJ374" s="111"/>
      <c r="AK374" s="4"/>
    </row>
    <row r="375" spans="1:37" x14ac:dyDescent="0.2">
      <c r="A375" s="14">
        <v>375</v>
      </c>
      <c r="C375" s="88"/>
      <c r="D375" s="88"/>
      <c r="E375" s="88"/>
      <c r="F375" s="88"/>
      <c r="G375" s="88"/>
      <c r="H375" s="88"/>
      <c r="I375" s="88"/>
      <c r="K375" s="117"/>
      <c r="L375" s="111"/>
      <c r="M375" s="121"/>
      <c r="N375" s="4"/>
      <c r="O375" s="88"/>
      <c r="P375" s="88"/>
      <c r="Q375" s="88"/>
      <c r="R375" s="88"/>
      <c r="S375" s="88"/>
      <c r="T375" s="88"/>
      <c r="U375" s="88"/>
      <c r="W375" s="119"/>
      <c r="X375" s="111"/>
      <c r="Y375" s="4"/>
      <c r="Z375" s="4"/>
      <c r="AA375" s="4"/>
      <c r="AB375" s="4"/>
      <c r="AC375" s="4"/>
      <c r="AD375" s="4"/>
      <c r="AE375" s="4"/>
      <c r="AF375" s="4"/>
      <c r="AG375" s="4"/>
      <c r="AI375" s="120"/>
      <c r="AJ375" s="111"/>
      <c r="AK375" s="4"/>
    </row>
    <row r="376" spans="1:37" x14ac:dyDescent="0.2">
      <c r="A376" s="14">
        <v>376</v>
      </c>
      <c r="C376" s="404" t="s">
        <v>996</v>
      </c>
      <c r="D376" s="88"/>
      <c r="E376" s="88"/>
      <c r="F376" s="88"/>
      <c r="G376" s="88"/>
      <c r="H376" s="88"/>
      <c r="I376" s="88"/>
      <c r="K376" s="117"/>
      <c r="L376" s="111"/>
      <c r="M376" s="121"/>
      <c r="N376" s="4"/>
      <c r="O376" s="404" t="s">
        <v>997</v>
      </c>
      <c r="P376" s="88"/>
      <c r="Q376" s="88"/>
      <c r="R376" s="88"/>
      <c r="S376" s="88"/>
      <c r="T376" s="88"/>
      <c r="U376" s="88"/>
      <c r="W376" s="119"/>
      <c r="X376" s="111"/>
      <c r="Y376" s="4"/>
      <c r="Z376" s="4"/>
      <c r="AA376" s="404" t="s">
        <v>998</v>
      </c>
      <c r="AB376" s="88"/>
      <c r="AC376" s="88"/>
      <c r="AD376" s="88"/>
      <c r="AE376" s="88"/>
      <c r="AF376" s="88"/>
      <c r="AG376" s="88"/>
      <c r="AI376" s="120"/>
      <c r="AJ376" s="111"/>
      <c r="AK376" s="4"/>
    </row>
    <row r="377" spans="1:37" x14ac:dyDescent="0.2">
      <c r="A377" s="14">
        <v>377</v>
      </c>
      <c r="C377" s="55" t="s">
        <v>3</v>
      </c>
      <c r="D377" s="55" t="s">
        <v>177</v>
      </c>
      <c r="E377" s="55" t="s">
        <v>178</v>
      </c>
      <c r="F377" s="55" t="s">
        <v>178</v>
      </c>
      <c r="G377" s="55" t="s">
        <v>9</v>
      </c>
      <c r="H377" s="55" t="s">
        <v>857</v>
      </c>
      <c r="I377" s="55" t="s">
        <v>854</v>
      </c>
      <c r="K377" s="56" t="s">
        <v>877</v>
      </c>
      <c r="L377" s="111"/>
      <c r="M377" s="121"/>
      <c r="N377" s="4"/>
      <c r="O377" s="55" t="s">
        <v>3</v>
      </c>
      <c r="P377" s="55" t="s">
        <v>177</v>
      </c>
      <c r="Q377" s="55" t="s">
        <v>178</v>
      </c>
      <c r="R377" s="55" t="s">
        <v>178</v>
      </c>
      <c r="S377" s="55" t="s">
        <v>9</v>
      </c>
      <c r="T377" s="55" t="s">
        <v>857</v>
      </c>
      <c r="U377" s="55" t="s">
        <v>854</v>
      </c>
      <c r="W377" s="56" t="s">
        <v>877</v>
      </c>
      <c r="X377" s="111"/>
      <c r="Y377" s="4"/>
      <c r="Z377" s="4"/>
      <c r="AA377" s="55" t="s">
        <v>3</v>
      </c>
      <c r="AB377" s="55" t="s">
        <v>177</v>
      </c>
      <c r="AC377" s="55" t="s">
        <v>178</v>
      </c>
      <c r="AD377" s="55" t="s">
        <v>178</v>
      </c>
      <c r="AE377" s="55" t="s">
        <v>9</v>
      </c>
      <c r="AF377" s="55" t="s">
        <v>857</v>
      </c>
      <c r="AG377" s="55" t="s">
        <v>854</v>
      </c>
      <c r="AI377" s="56" t="s">
        <v>877</v>
      </c>
      <c r="AJ377" s="111"/>
      <c r="AK377" s="4"/>
    </row>
    <row r="378" spans="1:37" x14ac:dyDescent="0.2">
      <c r="A378" s="14">
        <v>378</v>
      </c>
      <c r="C378" s="101"/>
      <c r="D378" s="125"/>
      <c r="E378" s="125" t="s">
        <v>185</v>
      </c>
      <c r="F378" s="125"/>
      <c r="G378" s="125">
        <f t="shared" ref="G378:I381" si="155">F378+1</f>
        <v>1</v>
      </c>
      <c r="H378" s="125">
        <f t="shared" si="155"/>
        <v>2</v>
      </c>
      <c r="I378" s="92">
        <f t="shared" si="155"/>
        <v>3</v>
      </c>
      <c r="K378" s="122">
        <v>40</v>
      </c>
      <c r="L378" s="94"/>
      <c r="M378" s="123"/>
      <c r="N378" s="4"/>
      <c r="O378" s="101">
        <v>1</v>
      </c>
      <c r="P378" s="125">
        <f t="shared" ref="P378:U380" si="156">O378+1</f>
        <v>2</v>
      </c>
      <c r="Q378" s="125">
        <f t="shared" si="156"/>
        <v>3</v>
      </c>
      <c r="R378" s="125">
        <f t="shared" si="156"/>
        <v>4</v>
      </c>
      <c r="S378" s="125">
        <f t="shared" si="156"/>
        <v>5</v>
      </c>
      <c r="T378" s="125">
        <f t="shared" si="156"/>
        <v>6</v>
      </c>
      <c r="U378" s="92">
        <f t="shared" si="156"/>
        <v>7</v>
      </c>
      <c r="W378" s="100">
        <v>45</v>
      </c>
      <c r="X378" s="94"/>
      <c r="Y378" s="49"/>
      <c r="Z378" s="4"/>
      <c r="AA378" s="414" t="s">
        <v>185</v>
      </c>
      <c r="AB378" s="125"/>
      <c r="AC378" s="125">
        <f t="shared" ref="AC378:AG380" si="157">AB378+1</f>
        <v>1</v>
      </c>
      <c r="AD378" s="125">
        <f t="shared" si="157"/>
        <v>2</v>
      </c>
      <c r="AE378" s="125">
        <f t="shared" si="157"/>
        <v>3</v>
      </c>
      <c r="AF378" s="125">
        <f t="shared" si="157"/>
        <v>4</v>
      </c>
      <c r="AG378" s="92">
        <f t="shared" si="157"/>
        <v>5</v>
      </c>
      <c r="AI378" s="100">
        <v>49</v>
      </c>
      <c r="AJ378" s="94"/>
      <c r="AK378" s="152"/>
    </row>
    <row r="379" spans="1:37" x14ac:dyDescent="0.2">
      <c r="A379" s="14">
        <v>379</v>
      </c>
      <c r="C379" s="101">
        <f>I378+1</f>
        <v>4</v>
      </c>
      <c r="D379" s="124">
        <f t="shared" ref="D379:F381" si="158">C379+1</f>
        <v>5</v>
      </c>
      <c r="E379" s="131">
        <f t="shared" si="158"/>
        <v>6</v>
      </c>
      <c r="F379" s="125">
        <f t="shared" si="158"/>
        <v>7</v>
      </c>
      <c r="G379" s="125">
        <f t="shared" si="155"/>
        <v>8</v>
      </c>
      <c r="H379" s="125">
        <f t="shared" si="155"/>
        <v>9</v>
      </c>
      <c r="I379" s="92">
        <f t="shared" si="155"/>
        <v>10</v>
      </c>
      <c r="K379" s="122">
        <v>41</v>
      </c>
      <c r="L379" s="103" t="s">
        <v>418</v>
      </c>
      <c r="M379" s="126">
        <v>4</v>
      </c>
      <c r="N379" s="4"/>
      <c r="O379" s="101">
        <f>U378+1</f>
        <v>8</v>
      </c>
      <c r="P379" s="125">
        <f t="shared" si="156"/>
        <v>9</v>
      </c>
      <c r="Q379" s="125">
        <f t="shared" si="156"/>
        <v>10</v>
      </c>
      <c r="R379" s="125">
        <f t="shared" si="156"/>
        <v>11</v>
      </c>
      <c r="S379" s="125">
        <f t="shared" si="156"/>
        <v>12</v>
      </c>
      <c r="T379" s="125">
        <f t="shared" si="156"/>
        <v>13</v>
      </c>
      <c r="U379" s="92">
        <f t="shared" si="156"/>
        <v>14</v>
      </c>
      <c r="W379" s="100">
        <v>46</v>
      </c>
      <c r="X379" s="103" t="s">
        <v>418</v>
      </c>
      <c r="Y379" s="106">
        <v>5</v>
      </c>
      <c r="Z379" s="4"/>
      <c r="AA379" s="101">
        <f>AG378+1</f>
        <v>6</v>
      </c>
      <c r="AB379" s="125">
        <f>AA379+1</f>
        <v>7</v>
      </c>
      <c r="AC379" s="125">
        <f t="shared" si="157"/>
        <v>8</v>
      </c>
      <c r="AD379" s="125">
        <f t="shared" si="157"/>
        <v>9</v>
      </c>
      <c r="AE379" s="125">
        <f t="shared" si="157"/>
        <v>10</v>
      </c>
      <c r="AF379" s="125">
        <f t="shared" si="157"/>
        <v>11</v>
      </c>
      <c r="AG379" s="92">
        <f t="shared" si="157"/>
        <v>12</v>
      </c>
      <c r="AI379" s="100">
        <v>50</v>
      </c>
      <c r="AJ379" s="103" t="s">
        <v>418</v>
      </c>
      <c r="AK379" s="106">
        <v>4</v>
      </c>
    </row>
    <row r="380" spans="1:37" x14ac:dyDescent="0.2">
      <c r="A380" s="14">
        <v>380</v>
      </c>
      <c r="C380" s="101">
        <f>I379+1</f>
        <v>11</v>
      </c>
      <c r="D380" s="125">
        <f t="shared" si="158"/>
        <v>12</v>
      </c>
      <c r="E380" s="125">
        <f t="shared" si="158"/>
        <v>13</v>
      </c>
      <c r="F380" s="125">
        <f t="shared" si="158"/>
        <v>14</v>
      </c>
      <c r="G380" s="125">
        <f t="shared" si="155"/>
        <v>15</v>
      </c>
      <c r="H380" s="125">
        <f t="shared" si="155"/>
        <v>16</v>
      </c>
      <c r="I380" s="92">
        <f t="shared" si="155"/>
        <v>17</v>
      </c>
      <c r="K380" s="122">
        <v>42</v>
      </c>
      <c r="L380" s="103" t="s">
        <v>425</v>
      </c>
      <c r="M380" s="126">
        <v>5</v>
      </c>
      <c r="N380" s="4"/>
      <c r="O380" s="101">
        <f>U379+1</f>
        <v>15</v>
      </c>
      <c r="P380" s="125">
        <f t="shared" si="156"/>
        <v>16</v>
      </c>
      <c r="Q380" s="125">
        <f t="shared" si="156"/>
        <v>17</v>
      </c>
      <c r="R380" s="125">
        <f t="shared" si="156"/>
        <v>18</v>
      </c>
      <c r="S380" s="125">
        <f t="shared" si="156"/>
        <v>19</v>
      </c>
      <c r="T380" s="125">
        <f t="shared" si="156"/>
        <v>20</v>
      </c>
      <c r="U380" s="92">
        <f t="shared" si="156"/>
        <v>21</v>
      </c>
      <c r="W380" s="100">
        <v>47</v>
      </c>
      <c r="X380" s="103" t="s">
        <v>425</v>
      </c>
      <c r="Y380" s="106">
        <v>4</v>
      </c>
      <c r="Z380" s="4"/>
      <c r="AA380" s="101">
        <f>AG379+1</f>
        <v>13</v>
      </c>
      <c r="AB380" s="125">
        <f>AA380+1</f>
        <v>14</v>
      </c>
      <c r="AC380" s="125">
        <f t="shared" si="157"/>
        <v>15</v>
      </c>
      <c r="AD380" s="125">
        <f t="shared" si="157"/>
        <v>16</v>
      </c>
      <c r="AE380" s="125">
        <f t="shared" si="157"/>
        <v>17</v>
      </c>
      <c r="AF380" s="124">
        <f t="shared" si="157"/>
        <v>18</v>
      </c>
      <c r="AG380" s="92">
        <f t="shared" si="157"/>
        <v>19</v>
      </c>
      <c r="AI380" s="100">
        <v>51</v>
      </c>
      <c r="AJ380" s="103" t="s">
        <v>425</v>
      </c>
      <c r="AK380" s="106">
        <v>4</v>
      </c>
    </row>
    <row r="381" spans="1:37" x14ac:dyDescent="0.2">
      <c r="A381" s="14">
        <v>381</v>
      </c>
      <c r="C381" s="101">
        <f>I380+1</f>
        <v>18</v>
      </c>
      <c r="D381" s="125">
        <f t="shared" si="158"/>
        <v>19</v>
      </c>
      <c r="E381" s="125">
        <f t="shared" si="158"/>
        <v>20</v>
      </c>
      <c r="F381" s="125">
        <f t="shared" si="158"/>
        <v>21</v>
      </c>
      <c r="G381" s="125">
        <f t="shared" si="155"/>
        <v>22</v>
      </c>
      <c r="H381" s="125">
        <f t="shared" si="155"/>
        <v>23</v>
      </c>
      <c r="I381" s="92">
        <f t="shared" si="155"/>
        <v>24</v>
      </c>
      <c r="K381" s="122">
        <v>43</v>
      </c>
      <c r="L381" s="103" t="s">
        <v>878</v>
      </c>
      <c r="M381" s="126">
        <v>31</v>
      </c>
      <c r="N381" s="4"/>
      <c r="O381" s="101">
        <f>U380+1</f>
        <v>22</v>
      </c>
      <c r="P381" s="125">
        <f t="shared" ref="P381:U381" si="159">O381+1</f>
        <v>23</v>
      </c>
      <c r="Q381" s="125">
        <f t="shared" si="159"/>
        <v>24</v>
      </c>
      <c r="R381" s="125">
        <f t="shared" si="159"/>
        <v>25</v>
      </c>
      <c r="S381" s="125">
        <f t="shared" si="159"/>
        <v>26</v>
      </c>
      <c r="T381" s="125">
        <f t="shared" si="159"/>
        <v>27</v>
      </c>
      <c r="U381" s="92">
        <f t="shared" si="159"/>
        <v>28</v>
      </c>
      <c r="W381" s="100">
        <v>48</v>
      </c>
      <c r="X381" s="103" t="s">
        <v>878</v>
      </c>
      <c r="Y381" s="106">
        <v>30</v>
      </c>
      <c r="Z381" s="4"/>
      <c r="AA381" s="101">
        <f>AG380+1</f>
        <v>20</v>
      </c>
      <c r="AB381" s="125">
        <f t="shared" ref="AB381:AG381" si="160">AA381+1</f>
        <v>21</v>
      </c>
      <c r="AC381" s="125">
        <f t="shared" si="160"/>
        <v>22</v>
      </c>
      <c r="AD381" s="125">
        <f t="shared" si="160"/>
        <v>23</v>
      </c>
      <c r="AE381" s="125">
        <f t="shared" si="160"/>
        <v>24</v>
      </c>
      <c r="AF381" s="125">
        <f t="shared" si="160"/>
        <v>25</v>
      </c>
      <c r="AG381" s="92">
        <f t="shared" si="160"/>
        <v>26</v>
      </c>
      <c r="AI381" s="100">
        <v>52</v>
      </c>
      <c r="AJ381" s="103" t="s">
        <v>878</v>
      </c>
      <c r="AK381" s="106">
        <v>31</v>
      </c>
    </row>
    <row r="382" spans="1:37" x14ac:dyDescent="0.2">
      <c r="A382" s="14">
        <v>382</v>
      </c>
      <c r="C382" s="101">
        <f>I381+1</f>
        <v>25</v>
      </c>
      <c r="D382" s="125">
        <f t="shared" ref="D382:I382" si="161">C382+1</f>
        <v>26</v>
      </c>
      <c r="E382" s="125">
        <f t="shared" si="161"/>
        <v>27</v>
      </c>
      <c r="F382" s="125">
        <f t="shared" si="161"/>
        <v>28</v>
      </c>
      <c r="G382" s="125">
        <f t="shared" si="161"/>
        <v>29</v>
      </c>
      <c r="H382" s="125">
        <f t="shared" si="161"/>
        <v>30</v>
      </c>
      <c r="I382" s="417">
        <f t="shared" si="161"/>
        <v>31</v>
      </c>
      <c r="K382" s="122">
        <v>44</v>
      </c>
      <c r="L382" s="4"/>
      <c r="M382" s="112"/>
      <c r="N382" s="4"/>
      <c r="O382" s="101">
        <f>U381+1</f>
        <v>29</v>
      </c>
      <c r="P382" s="125">
        <f>O382+1</f>
        <v>30</v>
      </c>
      <c r="Q382" s="129"/>
      <c r="R382" s="129"/>
      <c r="S382" s="129"/>
      <c r="T382" s="129"/>
      <c r="U382" s="114"/>
      <c r="W382" s="100">
        <v>49</v>
      </c>
      <c r="X382" s="111"/>
      <c r="Y382" s="112"/>
      <c r="Z382" s="4"/>
      <c r="AA382" s="101">
        <f>AG381+1</f>
        <v>27</v>
      </c>
      <c r="AB382" s="125">
        <f>AA382+1</f>
        <v>28</v>
      </c>
      <c r="AC382" s="125">
        <f>AB382+1</f>
        <v>29</v>
      </c>
      <c r="AD382" s="125">
        <f>AC382+1</f>
        <v>30</v>
      </c>
      <c r="AE382" s="415">
        <f>AD382+1</f>
        <v>31</v>
      </c>
      <c r="AF382" s="129"/>
      <c r="AG382" s="114"/>
      <c r="AI382" s="255"/>
      <c r="AJ382" s="111"/>
      <c r="AK382" s="4"/>
    </row>
    <row r="383" spans="1:37" x14ac:dyDescent="0.2">
      <c r="A383" s="14">
        <v>383</v>
      </c>
      <c r="C383" s="414" t="s">
        <v>185</v>
      </c>
      <c r="D383" s="125" t="s">
        <v>185</v>
      </c>
      <c r="E383" s="125" t="s">
        <v>185</v>
      </c>
      <c r="F383" s="125" t="s">
        <v>185</v>
      </c>
      <c r="G383" s="125" t="s">
        <v>185</v>
      </c>
      <c r="H383" s="125" t="s">
        <v>185</v>
      </c>
      <c r="I383" s="114"/>
      <c r="K383" s="122"/>
      <c r="L383" s="4"/>
      <c r="M383" s="4"/>
      <c r="N383" s="4"/>
      <c r="O383" s="101"/>
      <c r="P383" s="125"/>
      <c r="Q383" s="129"/>
      <c r="R383" s="129"/>
      <c r="S383" s="129"/>
      <c r="T383" s="129"/>
      <c r="U383" s="114"/>
      <c r="V383" s="133"/>
      <c r="W383" s="100"/>
      <c r="X383" s="4"/>
      <c r="Y383" s="4"/>
      <c r="Z383" s="4"/>
      <c r="AA383" s="101"/>
      <c r="AB383" s="125"/>
      <c r="AC383" s="125"/>
      <c r="AD383" s="125"/>
      <c r="AE383" s="129"/>
      <c r="AF383" s="129"/>
      <c r="AG383" s="114"/>
      <c r="AI383" s="116"/>
      <c r="AJ383" s="4"/>
      <c r="AK383" s="4"/>
    </row>
    <row r="384" spans="1:37" x14ac:dyDescent="0.2">
      <c r="A384" s="14">
        <v>384</v>
      </c>
      <c r="C384" s="88"/>
      <c r="D384" s="88"/>
      <c r="E384" s="88"/>
      <c r="F384" s="88"/>
      <c r="G384" s="88"/>
      <c r="H384" s="88"/>
      <c r="I384" s="8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88"/>
      <c r="AB384" s="88"/>
      <c r="AC384" s="88"/>
      <c r="AD384" s="88"/>
      <c r="AE384" s="88"/>
      <c r="AF384" s="88"/>
      <c r="AG384" s="88"/>
      <c r="AH384" s="4"/>
      <c r="AI384" s="4"/>
      <c r="AJ384" s="4"/>
      <c r="AK384" s="4"/>
    </row>
    <row r="385" spans="1:37" ht="12.75" x14ac:dyDescent="0.2">
      <c r="A385" s="14">
        <v>385</v>
      </c>
      <c r="C385" s="157"/>
      <c r="D385" s="141"/>
      <c r="E385" s="141"/>
      <c r="F385" s="141"/>
      <c r="G385" s="141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1"/>
      <c r="S385" s="140"/>
      <c r="T385" s="140"/>
      <c r="U385" s="140"/>
      <c r="V385" s="140"/>
      <c r="W385" s="140"/>
      <c r="X385" s="142" t="s">
        <v>986</v>
      </c>
      <c r="Y385" s="141"/>
      <c r="Z385" s="4"/>
      <c r="AA385" s="88"/>
      <c r="AB385" s="88"/>
      <c r="AC385" s="88"/>
      <c r="AD385" s="88"/>
      <c r="AH385" s="153" t="s">
        <v>888</v>
      </c>
      <c r="AI385" s="144">
        <f>(M352+Y352+AK352+M361+Y361+AK361+M370+Y370+AK370+M379+Y379+AK379)</f>
        <v>52</v>
      </c>
    </row>
    <row r="386" spans="1:37" x14ac:dyDescent="0.2">
      <c r="A386" s="14">
        <v>386</v>
      </c>
      <c r="Z386" s="4"/>
      <c r="AA386" s="88"/>
      <c r="AB386" s="88"/>
      <c r="AC386" s="88"/>
      <c r="AD386" s="88"/>
      <c r="AH386" s="153" t="s">
        <v>889</v>
      </c>
      <c r="AI386" s="145">
        <f>(M353+Y353+AK353+M362+Y362+AK362+M371+Y371+AK371+M380+Y380+AK380)</f>
        <v>52</v>
      </c>
    </row>
    <row r="387" spans="1:37" x14ac:dyDescent="0.2">
      <c r="A387" s="14">
        <v>387</v>
      </c>
      <c r="C387" s="135"/>
      <c r="H387" s="4"/>
      <c r="I387" s="4"/>
      <c r="J387" s="4"/>
      <c r="K387" s="4"/>
      <c r="L387" s="4"/>
      <c r="M387" s="4"/>
      <c r="N387" s="4"/>
      <c r="O387" s="4"/>
      <c r="P387" s="4"/>
      <c r="Q387" s="4"/>
      <c r="S387" s="4"/>
      <c r="T387" s="4"/>
      <c r="U387" s="4"/>
      <c r="V387" s="4"/>
      <c r="W387" s="4"/>
      <c r="Z387" s="4"/>
      <c r="AA387" s="88"/>
      <c r="AB387" s="88"/>
      <c r="AC387" s="88"/>
      <c r="AD387" s="88"/>
      <c r="AH387" s="153" t="s">
        <v>890</v>
      </c>
      <c r="AI387" s="154">
        <f>(M354+Y354+AK354+M363+Y363+AK363+M372+Y372+AK372+M381+Y381+AK381)</f>
        <v>365</v>
      </c>
      <c r="AJ387" s="147" t="str">
        <f>IF(AI387&gt;365,"BISIESTO","NORMAL")</f>
        <v>NORMAL</v>
      </c>
    </row>
    <row r="388" spans="1:37" x14ac:dyDescent="0.2">
      <c r="A388" s="14">
        <v>388</v>
      </c>
      <c r="C388" s="135"/>
      <c r="H388" s="4"/>
      <c r="I388" s="4"/>
      <c r="J388" s="4"/>
      <c r="K388" s="4"/>
      <c r="L388" s="4"/>
      <c r="M388" s="4"/>
      <c r="N388" s="4"/>
      <c r="O388" s="4"/>
      <c r="P388" s="4"/>
      <c r="Q388" s="4"/>
      <c r="S388" s="4"/>
      <c r="T388" s="4"/>
      <c r="U388" s="4"/>
      <c r="V388" s="4"/>
      <c r="W388" s="4"/>
      <c r="Z388" s="4"/>
      <c r="AA388" s="88"/>
      <c r="AB388" s="88"/>
      <c r="AC388" s="88"/>
      <c r="AD388" s="88"/>
      <c r="AH388" s="153" t="s">
        <v>892</v>
      </c>
      <c r="AI388" s="149">
        <v>52</v>
      </c>
    </row>
    <row r="389" spans="1:37" x14ac:dyDescent="0.2">
      <c r="A389" s="14">
        <v>389</v>
      </c>
    </row>
    <row r="390" spans="1:37" ht="12.75" x14ac:dyDescent="0.2">
      <c r="A390" s="14">
        <v>390</v>
      </c>
      <c r="C390" s="85" t="s">
        <v>999</v>
      </c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</row>
    <row r="391" spans="1:37" x14ac:dyDescent="0.2">
      <c r="A391" s="14">
        <v>391</v>
      </c>
    </row>
    <row r="392" spans="1:37" x14ac:dyDescent="0.2">
      <c r="A392" s="14">
        <v>392</v>
      </c>
      <c r="C392" s="404" t="s">
        <v>1000</v>
      </c>
      <c r="D392" s="88"/>
      <c r="E392" s="88"/>
      <c r="F392" s="88"/>
      <c r="G392" s="88"/>
      <c r="H392" s="88"/>
      <c r="I392" s="88"/>
      <c r="J392" s="4"/>
      <c r="K392" s="4"/>
      <c r="L392" s="89"/>
      <c r="M392" s="90"/>
      <c r="N392" s="4"/>
      <c r="O392" s="404" t="s">
        <v>1001</v>
      </c>
      <c r="P392" s="88"/>
      <c r="Q392" s="88"/>
      <c r="R392" s="88"/>
      <c r="S392" s="88"/>
      <c r="T392" s="88"/>
      <c r="U392" s="88"/>
      <c r="V392" s="4"/>
      <c r="W392" s="4"/>
      <c r="X392" s="4"/>
      <c r="Y392" s="4"/>
      <c r="Z392" s="4"/>
      <c r="AA392" s="404" t="s">
        <v>1002</v>
      </c>
      <c r="AB392" s="88"/>
      <c r="AC392" s="88"/>
      <c r="AD392" s="88"/>
      <c r="AE392" s="88"/>
      <c r="AF392" s="88"/>
      <c r="AG392" s="88"/>
      <c r="AH392" s="4"/>
      <c r="AI392" s="4"/>
      <c r="AJ392" s="4"/>
      <c r="AK392" s="4"/>
    </row>
    <row r="393" spans="1:37" x14ac:dyDescent="0.2">
      <c r="A393" s="14">
        <v>393</v>
      </c>
      <c r="C393" s="55" t="s">
        <v>3</v>
      </c>
      <c r="D393" s="55" t="s">
        <v>177</v>
      </c>
      <c r="E393" s="55" t="s">
        <v>178</v>
      </c>
      <c r="F393" s="55" t="s">
        <v>178</v>
      </c>
      <c r="G393" s="55" t="s">
        <v>9</v>
      </c>
      <c r="H393" s="55" t="s">
        <v>857</v>
      </c>
      <c r="I393" s="55" t="s">
        <v>854</v>
      </c>
      <c r="K393" s="56" t="s">
        <v>877</v>
      </c>
      <c r="L393" s="4"/>
      <c r="M393" s="4"/>
      <c r="N393" s="4"/>
      <c r="O393" s="55" t="s">
        <v>3</v>
      </c>
      <c r="P393" s="55" t="s">
        <v>177</v>
      </c>
      <c r="Q393" s="55" t="s">
        <v>178</v>
      </c>
      <c r="R393" s="55" t="s">
        <v>178</v>
      </c>
      <c r="S393" s="55" t="s">
        <v>9</v>
      </c>
      <c r="T393" s="55" t="s">
        <v>857</v>
      </c>
      <c r="U393" s="55" t="s">
        <v>854</v>
      </c>
      <c r="W393" s="56" t="s">
        <v>877</v>
      </c>
      <c r="X393" s="4"/>
      <c r="Y393" s="57"/>
      <c r="Z393" s="4"/>
      <c r="AA393" s="55" t="s">
        <v>3</v>
      </c>
      <c r="AB393" s="55" t="s">
        <v>177</v>
      </c>
      <c r="AC393" s="55" t="s">
        <v>178</v>
      </c>
      <c r="AD393" s="55" t="s">
        <v>178</v>
      </c>
      <c r="AE393" s="55" t="s">
        <v>9</v>
      </c>
      <c r="AF393" s="55" t="s">
        <v>857</v>
      </c>
      <c r="AG393" s="55" t="s">
        <v>854</v>
      </c>
      <c r="AI393" s="56" t="s">
        <v>877</v>
      </c>
      <c r="AJ393" s="4"/>
      <c r="AK393" s="4"/>
    </row>
    <row r="394" spans="1:37" x14ac:dyDescent="0.2">
      <c r="A394" s="14">
        <v>394</v>
      </c>
      <c r="C394" s="58"/>
      <c r="D394" s="91"/>
      <c r="E394" s="156"/>
      <c r="F394" s="156"/>
      <c r="G394" s="156"/>
      <c r="H394" s="156">
        <v>1</v>
      </c>
      <c r="I394" s="405">
        <f>H394+1</f>
        <v>2</v>
      </c>
      <c r="K394" s="93">
        <v>1</v>
      </c>
      <c r="L394" s="94"/>
      <c r="M394" s="95"/>
      <c r="N394" s="96"/>
      <c r="O394" s="414" t="s">
        <v>185</v>
      </c>
      <c r="P394" s="91">
        <v>1</v>
      </c>
      <c r="Q394" s="91">
        <f t="shared" ref="Q394:U397" si="162">P394+1</f>
        <v>2</v>
      </c>
      <c r="R394" s="91">
        <f t="shared" si="162"/>
        <v>3</v>
      </c>
      <c r="S394" s="91">
        <f t="shared" si="162"/>
        <v>4</v>
      </c>
      <c r="T394" s="91">
        <f t="shared" si="162"/>
        <v>5</v>
      </c>
      <c r="U394" s="92">
        <f t="shared" si="162"/>
        <v>6</v>
      </c>
      <c r="W394" s="98">
        <v>6</v>
      </c>
      <c r="X394" s="94"/>
      <c r="Y394" s="99"/>
      <c r="Z394" s="96"/>
      <c r="AA394" s="414" t="s">
        <v>185</v>
      </c>
      <c r="AB394" s="91" t="s">
        <v>185</v>
      </c>
      <c r="AC394" s="91">
        <v>1</v>
      </c>
      <c r="AD394" s="91">
        <f t="shared" ref="AD394:AG396" si="163">AC394+1</f>
        <v>2</v>
      </c>
      <c r="AE394" s="91">
        <f t="shared" si="163"/>
        <v>3</v>
      </c>
      <c r="AF394" s="91">
        <f t="shared" si="163"/>
        <v>4</v>
      </c>
      <c r="AG394" s="92">
        <f t="shared" si="163"/>
        <v>5</v>
      </c>
      <c r="AI394" s="100">
        <v>10</v>
      </c>
      <c r="AJ394" s="94"/>
      <c r="AK394" s="49"/>
    </row>
    <row r="395" spans="1:37" x14ac:dyDescent="0.2">
      <c r="A395" s="14">
        <v>395</v>
      </c>
      <c r="C395" s="101">
        <f>I394+1</f>
        <v>3</v>
      </c>
      <c r="D395" s="91">
        <f t="shared" ref="D395:H398" si="164">C395+1</f>
        <v>4</v>
      </c>
      <c r="E395" s="91">
        <f t="shared" si="164"/>
        <v>5</v>
      </c>
      <c r="F395" s="91">
        <f t="shared" si="164"/>
        <v>6</v>
      </c>
      <c r="G395" s="91">
        <f t="shared" si="164"/>
        <v>7</v>
      </c>
      <c r="H395" s="91">
        <f t="shared" si="164"/>
        <v>8</v>
      </c>
      <c r="I395" s="92">
        <f>H395+1</f>
        <v>9</v>
      </c>
      <c r="K395" s="93">
        <v>2</v>
      </c>
      <c r="L395" s="103" t="s">
        <v>418</v>
      </c>
      <c r="M395" s="104">
        <v>5</v>
      </c>
      <c r="N395" s="96"/>
      <c r="O395" s="101">
        <f>U394+1</f>
        <v>7</v>
      </c>
      <c r="P395" s="91">
        <f>O395+1</f>
        <v>8</v>
      </c>
      <c r="Q395" s="91">
        <f t="shared" si="162"/>
        <v>9</v>
      </c>
      <c r="R395" s="91">
        <f t="shared" si="162"/>
        <v>10</v>
      </c>
      <c r="S395" s="91">
        <f t="shared" si="162"/>
        <v>11</v>
      </c>
      <c r="T395" s="91">
        <f t="shared" si="162"/>
        <v>12</v>
      </c>
      <c r="U395" s="92">
        <f t="shared" si="162"/>
        <v>13</v>
      </c>
      <c r="W395" s="98">
        <v>7</v>
      </c>
      <c r="X395" s="103" t="s">
        <v>418</v>
      </c>
      <c r="Y395" s="105">
        <v>4</v>
      </c>
      <c r="Z395" s="96"/>
      <c r="AA395" s="101">
        <f>AG394+1</f>
        <v>6</v>
      </c>
      <c r="AB395" s="91">
        <f>AA395+1</f>
        <v>7</v>
      </c>
      <c r="AC395" s="91">
        <f>AB395+1</f>
        <v>8</v>
      </c>
      <c r="AD395" s="91">
        <f t="shared" si="163"/>
        <v>9</v>
      </c>
      <c r="AE395" s="91">
        <f t="shared" si="163"/>
        <v>10</v>
      </c>
      <c r="AF395" s="91">
        <f t="shared" si="163"/>
        <v>11</v>
      </c>
      <c r="AG395" s="92">
        <f t="shared" si="163"/>
        <v>12</v>
      </c>
      <c r="AI395" s="100">
        <v>11</v>
      </c>
      <c r="AJ395" s="103" t="s">
        <v>418</v>
      </c>
      <c r="AK395" s="106">
        <v>4</v>
      </c>
    </row>
    <row r="396" spans="1:37" x14ac:dyDescent="0.2">
      <c r="A396" s="14">
        <v>396</v>
      </c>
      <c r="C396" s="101">
        <f>I395+1</f>
        <v>10</v>
      </c>
      <c r="D396" s="91">
        <f t="shared" si="164"/>
        <v>11</v>
      </c>
      <c r="E396" s="91">
        <f t="shared" si="164"/>
        <v>12</v>
      </c>
      <c r="F396" s="91">
        <f t="shared" si="164"/>
        <v>13</v>
      </c>
      <c r="G396" s="91">
        <f t="shared" si="164"/>
        <v>14</v>
      </c>
      <c r="H396" s="91">
        <f t="shared" si="164"/>
        <v>15</v>
      </c>
      <c r="I396" s="92">
        <f>H396+1</f>
        <v>16</v>
      </c>
      <c r="K396" s="93">
        <v>3</v>
      </c>
      <c r="L396" s="103" t="s">
        <v>425</v>
      </c>
      <c r="M396" s="104">
        <v>5</v>
      </c>
      <c r="N396" s="96"/>
      <c r="O396" s="101">
        <f>U395+1</f>
        <v>14</v>
      </c>
      <c r="P396" s="91">
        <f>O396+1</f>
        <v>15</v>
      </c>
      <c r="Q396" s="91">
        <f t="shared" si="162"/>
        <v>16</v>
      </c>
      <c r="R396" s="91">
        <f t="shared" si="162"/>
        <v>17</v>
      </c>
      <c r="S396" s="91">
        <f t="shared" si="162"/>
        <v>18</v>
      </c>
      <c r="T396" s="91">
        <f t="shared" si="162"/>
        <v>19</v>
      </c>
      <c r="U396" s="92">
        <f t="shared" si="162"/>
        <v>20</v>
      </c>
      <c r="W396" s="98">
        <v>8</v>
      </c>
      <c r="X396" s="103" t="s">
        <v>425</v>
      </c>
      <c r="Y396" s="105">
        <v>4</v>
      </c>
      <c r="Z396" s="96"/>
      <c r="AA396" s="101">
        <f>AG395+1</f>
        <v>13</v>
      </c>
      <c r="AB396" s="91">
        <f>AA396+1</f>
        <v>14</v>
      </c>
      <c r="AC396" s="91">
        <f>AB396+1</f>
        <v>15</v>
      </c>
      <c r="AD396" s="91">
        <f t="shared" si="163"/>
        <v>16</v>
      </c>
      <c r="AE396" s="124">
        <f t="shared" si="163"/>
        <v>17</v>
      </c>
      <c r="AF396" s="131">
        <f t="shared" si="163"/>
        <v>18</v>
      </c>
      <c r="AG396" s="92">
        <f t="shared" si="163"/>
        <v>19</v>
      </c>
      <c r="AI396" s="100">
        <v>12</v>
      </c>
      <c r="AJ396" s="103" t="s">
        <v>425</v>
      </c>
      <c r="AK396" s="106">
        <v>4</v>
      </c>
    </row>
    <row r="397" spans="1:37" x14ac:dyDescent="0.2">
      <c r="A397" s="14">
        <v>397</v>
      </c>
      <c r="C397" s="101">
        <f>I396+1</f>
        <v>17</v>
      </c>
      <c r="D397" s="91">
        <f t="shared" si="164"/>
        <v>18</v>
      </c>
      <c r="E397" s="91">
        <f t="shared" si="164"/>
        <v>19</v>
      </c>
      <c r="F397" s="91">
        <f t="shared" si="164"/>
        <v>20</v>
      </c>
      <c r="G397" s="91">
        <f t="shared" si="164"/>
        <v>21</v>
      </c>
      <c r="H397" s="91">
        <f t="shared" si="164"/>
        <v>22</v>
      </c>
      <c r="I397" s="92">
        <f>H397+1</f>
        <v>23</v>
      </c>
      <c r="K397" s="93">
        <v>4</v>
      </c>
      <c r="L397" s="103" t="s">
        <v>878</v>
      </c>
      <c r="M397" s="104">
        <v>31</v>
      </c>
      <c r="N397" s="96"/>
      <c r="O397" s="101">
        <f>U396+1</f>
        <v>21</v>
      </c>
      <c r="P397" s="91">
        <f>O397+1</f>
        <v>22</v>
      </c>
      <c r="Q397" s="91">
        <f t="shared" si="162"/>
        <v>23</v>
      </c>
      <c r="R397" s="91">
        <f t="shared" si="162"/>
        <v>24</v>
      </c>
      <c r="S397" s="91">
        <f t="shared" si="162"/>
        <v>25</v>
      </c>
      <c r="T397" s="91">
        <f t="shared" si="162"/>
        <v>26</v>
      </c>
      <c r="U397" s="92">
        <f t="shared" si="162"/>
        <v>27</v>
      </c>
      <c r="W397" s="98">
        <v>9</v>
      </c>
      <c r="X397" s="103" t="s">
        <v>878</v>
      </c>
      <c r="Y397" s="105">
        <v>29</v>
      </c>
      <c r="Z397" s="96"/>
      <c r="AA397" s="101">
        <f>AG396+1</f>
        <v>20</v>
      </c>
      <c r="AB397" s="91">
        <f t="shared" ref="AB397:AG397" si="165">AA397+1</f>
        <v>21</v>
      </c>
      <c r="AC397" s="91">
        <f t="shared" si="165"/>
        <v>22</v>
      </c>
      <c r="AD397" s="134">
        <f t="shared" si="165"/>
        <v>23</v>
      </c>
      <c r="AE397" s="91">
        <f t="shared" si="165"/>
        <v>24</v>
      </c>
      <c r="AF397" s="91">
        <f t="shared" si="165"/>
        <v>25</v>
      </c>
      <c r="AG397" s="92">
        <f t="shared" si="165"/>
        <v>26</v>
      </c>
      <c r="AI397" s="100">
        <v>13</v>
      </c>
      <c r="AJ397" s="103" t="s">
        <v>878</v>
      </c>
      <c r="AK397" s="106">
        <v>31</v>
      </c>
    </row>
    <row r="398" spans="1:37" x14ac:dyDescent="0.2">
      <c r="A398" s="14">
        <v>398</v>
      </c>
      <c r="C398" s="101">
        <f>I397+1</f>
        <v>24</v>
      </c>
      <c r="D398" s="91">
        <f t="shared" si="164"/>
        <v>25</v>
      </c>
      <c r="E398" s="91">
        <f t="shared" si="164"/>
        <v>26</v>
      </c>
      <c r="F398" s="91">
        <f t="shared" si="164"/>
        <v>27</v>
      </c>
      <c r="G398" s="91">
        <f t="shared" si="164"/>
        <v>28</v>
      </c>
      <c r="H398" s="91">
        <f t="shared" si="164"/>
        <v>29</v>
      </c>
      <c r="I398" s="92">
        <f>H398+1</f>
        <v>30</v>
      </c>
      <c r="K398" s="93">
        <v>5</v>
      </c>
      <c r="L398" s="107"/>
      <c r="M398" s="108"/>
      <c r="N398" s="96"/>
      <c r="O398" s="101">
        <f>U397+1</f>
        <v>28</v>
      </c>
      <c r="P398" s="91">
        <f>O398+1</f>
        <v>29</v>
      </c>
      <c r="Q398" s="113"/>
      <c r="R398" s="113"/>
      <c r="S398" s="113"/>
      <c r="T398" s="113"/>
      <c r="U398" s="114"/>
      <c r="W398" s="98">
        <v>10</v>
      </c>
      <c r="X398" s="107"/>
      <c r="Y398" s="109"/>
      <c r="Z398" s="96"/>
      <c r="AA398" s="101">
        <f>AG397+1</f>
        <v>27</v>
      </c>
      <c r="AB398" s="91">
        <f>AA398+1</f>
        <v>28</v>
      </c>
      <c r="AC398" s="416">
        <f>AB398+1</f>
        <v>29</v>
      </c>
      <c r="AD398" s="416">
        <f>AC398+1</f>
        <v>30</v>
      </c>
      <c r="AE398" s="416">
        <f>AD398+1</f>
        <v>31</v>
      </c>
      <c r="AF398" s="113"/>
      <c r="AG398" s="114"/>
      <c r="AI398" s="100">
        <v>14</v>
      </c>
      <c r="AJ398" s="111"/>
      <c r="AK398" s="112"/>
    </row>
    <row r="399" spans="1:37" x14ac:dyDescent="0.2">
      <c r="A399" s="14">
        <v>399</v>
      </c>
      <c r="C399" s="101">
        <f>I398+1</f>
        <v>31</v>
      </c>
      <c r="D399" s="91"/>
      <c r="E399" s="91"/>
      <c r="F399" s="113"/>
      <c r="G399" s="113"/>
      <c r="H399" s="113"/>
      <c r="I399" s="114"/>
      <c r="K399" s="93">
        <v>6</v>
      </c>
      <c r="L399" s="107"/>
      <c r="M399" s="115"/>
      <c r="N399" s="96"/>
      <c r="O399" s="101"/>
      <c r="P399" s="91"/>
      <c r="Q399" s="113"/>
      <c r="R399" s="113"/>
      <c r="S399" s="113"/>
      <c r="T399" s="113"/>
      <c r="U399" s="114"/>
      <c r="W399" s="98"/>
      <c r="X399" s="107"/>
      <c r="Y399" s="96"/>
      <c r="Z399" s="96"/>
      <c r="AA399" s="101"/>
      <c r="AB399" s="91"/>
      <c r="AC399" s="113"/>
      <c r="AD399" s="113"/>
      <c r="AE399" s="113"/>
      <c r="AF399" s="113"/>
      <c r="AG399" s="114"/>
      <c r="AI399" s="100"/>
      <c r="AJ399" s="111"/>
      <c r="AK399" s="4"/>
    </row>
    <row r="400" spans="1:37" x14ac:dyDescent="0.2">
      <c r="A400" s="14">
        <v>400</v>
      </c>
      <c r="C400" s="88"/>
      <c r="D400" s="88"/>
      <c r="E400" s="88"/>
      <c r="F400" s="88"/>
      <c r="G400" s="88"/>
      <c r="H400" s="88"/>
      <c r="I400" s="88"/>
      <c r="K400" s="117"/>
      <c r="L400" s="111"/>
      <c r="M400" s="118"/>
      <c r="N400" s="4"/>
      <c r="O400" s="4"/>
      <c r="P400" s="4"/>
      <c r="Q400" s="4"/>
      <c r="R400" s="4"/>
      <c r="S400" s="4"/>
      <c r="T400" s="4"/>
      <c r="U400" s="4"/>
      <c r="W400" s="119"/>
      <c r="X400" s="111"/>
      <c r="Y400" s="4"/>
      <c r="Z400" s="4"/>
      <c r="AA400" s="4"/>
      <c r="AB400" s="4"/>
      <c r="AC400" s="4"/>
      <c r="AD400" s="4"/>
      <c r="AE400" s="4"/>
      <c r="AF400" s="4"/>
      <c r="AG400" s="4"/>
      <c r="AI400" s="120"/>
      <c r="AJ400" s="111"/>
      <c r="AK400" s="4"/>
    </row>
    <row r="401" spans="1:37" x14ac:dyDescent="0.2">
      <c r="A401" s="14">
        <v>401</v>
      </c>
      <c r="C401" s="404" t="s">
        <v>1003</v>
      </c>
      <c r="D401" s="88"/>
      <c r="E401" s="88"/>
      <c r="F401" s="88"/>
      <c r="G401" s="88"/>
      <c r="H401" s="88"/>
      <c r="I401" s="88"/>
      <c r="K401" s="117"/>
      <c r="L401" s="111"/>
      <c r="M401" s="121"/>
      <c r="N401" s="4"/>
      <c r="O401" s="404" t="s">
        <v>1004</v>
      </c>
      <c r="P401" s="88"/>
      <c r="Q401" s="88"/>
      <c r="R401" s="88"/>
      <c r="S401" s="88"/>
      <c r="T401" s="88"/>
      <c r="U401" s="88"/>
      <c r="W401" s="119"/>
      <c r="X401" s="111"/>
      <c r="Y401" s="4"/>
      <c r="Z401" s="4"/>
      <c r="AA401" s="404" t="s">
        <v>1005</v>
      </c>
      <c r="AB401" s="88"/>
      <c r="AC401" s="88"/>
      <c r="AD401" s="88"/>
      <c r="AE401" s="88"/>
      <c r="AF401" s="88"/>
      <c r="AG401" s="88"/>
      <c r="AI401" s="120"/>
      <c r="AJ401" s="111"/>
      <c r="AK401" s="4"/>
    </row>
    <row r="402" spans="1:37" x14ac:dyDescent="0.2">
      <c r="A402" s="14">
        <v>402</v>
      </c>
      <c r="C402" s="55" t="s">
        <v>3</v>
      </c>
      <c r="D402" s="55" t="s">
        <v>177</v>
      </c>
      <c r="E402" s="55" t="s">
        <v>178</v>
      </c>
      <c r="F402" s="55" t="s">
        <v>178</v>
      </c>
      <c r="G402" s="55" t="s">
        <v>9</v>
      </c>
      <c r="H402" s="55" t="s">
        <v>857</v>
      </c>
      <c r="I402" s="55" t="s">
        <v>854</v>
      </c>
      <c r="K402" s="56" t="s">
        <v>877</v>
      </c>
      <c r="L402" s="111"/>
      <c r="M402" s="121"/>
      <c r="N402" s="4"/>
      <c r="O402" s="55" t="s">
        <v>3</v>
      </c>
      <c r="P402" s="55" t="s">
        <v>177</v>
      </c>
      <c r="Q402" s="55" t="s">
        <v>178</v>
      </c>
      <c r="R402" s="55" t="s">
        <v>178</v>
      </c>
      <c r="S402" s="55" t="s">
        <v>9</v>
      </c>
      <c r="T402" s="55" t="s">
        <v>857</v>
      </c>
      <c r="U402" s="55" t="s">
        <v>854</v>
      </c>
      <c r="W402" s="56" t="s">
        <v>877</v>
      </c>
      <c r="X402" s="111"/>
      <c r="Y402" s="4"/>
      <c r="Z402" s="4"/>
      <c r="AA402" s="55" t="s">
        <v>3</v>
      </c>
      <c r="AB402" s="55" t="s">
        <v>177</v>
      </c>
      <c r="AC402" s="55" t="s">
        <v>178</v>
      </c>
      <c r="AD402" s="55" t="s">
        <v>178</v>
      </c>
      <c r="AE402" s="55" t="s">
        <v>9</v>
      </c>
      <c r="AF402" s="55" t="s">
        <v>857</v>
      </c>
      <c r="AG402" s="55" t="s">
        <v>854</v>
      </c>
      <c r="AI402" s="56" t="s">
        <v>877</v>
      </c>
      <c r="AJ402" s="111"/>
      <c r="AK402" s="4"/>
    </row>
    <row r="403" spans="1:37" x14ac:dyDescent="0.2">
      <c r="A403" s="14">
        <v>403</v>
      </c>
      <c r="C403" s="58"/>
      <c r="D403" s="91" t="s">
        <v>185</v>
      </c>
      <c r="E403" s="91"/>
      <c r="F403" s="91" t="s">
        <v>185</v>
      </c>
      <c r="G403" s="91" t="s">
        <v>185</v>
      </c>
      <c r="H403" s="91">
        <v>1</v>
      </c>
      <c r="I403" s="92">
        <f>H403+1</f>
        <v>2</v>
      </c>
      <c r="K403" s="122">
        <v>14</v>
      </c>
      <c r="L403" s="94"/>
      <c r="M403" s="123"/>
      <c r="N403" s="4"/>
      <c r="O403" s="406">
        <v>1</v>
      </c>
      <c r="P403" s="125">
        <f t="shared" ref="P403:U406" si="166">O403+1</f>
        <v>2</v>
      </c>
      <c r="Q403" s="125">
        <f t="shared" si="166"/>
        <v>3</v>
      </c>
      <c r="R403" s="125">
        <f t="shared" si="166"/>
        <v>4</v>
      </c>
      <c r="S403" s="125">
        <f t="shared" si="166"/>
        <v>5</v>
      </c>
      <c r="T403" s="125">
        <f t="shared" si="166"/>
        <v>6</v>
      </c>
      <c r="U403" s="92">
        <f t="shared" si="166"/>
        <v>7</v>
      </c>
      <c r="W403" s="100">
        <v>19</v>
      </c>
      <c r="X403" s="94"/>
      <c r="Y403" s="49"/>
      <c r="Z403" s="4"/>
      <c r="AA403" s="101"/>
      <c r="AB403" s="125" t="s">
        <v>185</v>
      </c>
      <c r="AC403" s="125" t="s">
        <v>185</v>
      </c>
      <c r="AD403" s="125">
        <v>1</v>
      </c>
      <c r="AE403" s="125">
        <f t="shared" ref="AE403:AG406" si="167">AD403+1</f>
        <v>2</v>
      </c>
      <c r="AF403" s="125">
        <f t="shared" si="167"/>
        <v>3</v>
      </c>
      <c r="AG403" s="92">
        <f t="shared" si="167"/>
        <v>4</v>
      </c>
      <c r="AI403" s="100">
        <v>23</v>
      </c>
      <c r="AJ403" s="94"/>
      <c r="AK403" s="123"/>
    </row>
    <row r="404" spans="1:37" x14ac:dyDescent="0.2">
      <c r="A404" s="14">
        <v>404</v>
      </c>
      <c r="C404" s="101">
        <f>I403+1</f>
        <v>3</v>
      </c>
      <c r="D404" s="91">
        <f t="shared" ref="D404:H406" si="168">C404+1</f>
        <v>4</v>
      </c>
      <c r="E404" s="91">
        <f t="shared" si="168"/>
        <v>5</v>
      </c>
      <c r="F404" s="91">
        <f t="shared" si="168"/>
        <v>6</v>
      </c>
      <c r="G404" s="124">
        <f t="shared" si="168"/>
        <v>7</v>
      </c>
      <c r="H404" s="124">
        <f t="shared" si="168"/>
        <v>8</v>
      </c>
      <c r="I404" s="92">
        <f>H404+1</f>
        <v>9</v>
      </c>
      <c r="K404" s="122">
        <v>15</v>
      </c>
      <c r="L404" s="103" t="s">
        <v>418</v>
      </c>
      <c r="M404" s="126">
        <v>4</v>
      </c>
      <c r="N404" s="4"/>
      <c r="O404" s="101">
        <f>U403+1</f>
        <v>8</v>
      </c>
      <c r="P404" s="125">
        <f t="shared" si="166"/>
        <v>9</v>
      </c>
      <c r="Q404" s="125">
        <f t="shared" si="166"/>
        <v>10</v>
      </c>
      <c r="R404" s="125">
        <f t="shared" si="166"/>
        <v>11</v>
      </c>
      <c r="S404" s="125">
        <f t="shared" si="166"/>
        <v>12</v>
      </c>
      <c r="T404" s="125">
        <f t="shared" si="166"/>
        <v>13</v>
      </c>
      <c r="U404" s="92">
        <f t="shared" si="166"/>
        <v>14</v>
      </c>
      <c r="W404" s="100">
        <v>20</v>
      </c>
      <c r="X404" s="103" t="s">
        <v>418</v>
      </c>
      <c r="Y404" s="106">
        <v>5</v>
      </c>
      <c r="Z404" s="4"/>
      <c r="AA404" s="101">
        <f>AG403+1</f>
        <v>5</v>
      </c>
      <c r="AB404" s="125">
        <f t="shared" ref="AB404:AD407" si="169">AA404+1</f>
        <v>6</v>
      </c>
      <c r="AC404" s="125">
        <f t="shared" si="169"/>
        <v>7</v>
      </c>
      <c r="AD404" s="125">
        <f t="shared" si="169"/>
        <v>8</v>
      </c>
      <c r="AE404" s="125">
        <f t="shared" si="167"/>
        <v>9</v>
      </c>
      <c r="AF404" s="125">
        <f t="shared" si="167"/>
        <v>10</v>
      </c>
      <c r="AG404" s="92">
        <f t="shared" si="167"/>
        <v>11</v>
      </c>
      <c r="AI404" s="100">
        <v>24</v>
      </c>
      <c r="AJ404" s="103" t="s">
        <v>418</v>
      </c>
      <c r="AK404" s="106">
        <v>4</v>
      </c>
    </row>
    <row r="405" spans="1:37" x14ac:dyDescent="0.2">
      <c r="A405" s="14">
        <v>405</v>
      </c>
      <c r="C405" s="101">
        <f>I404+1</f>
        <v>10</v>
      </c>
      <c r="D405" s="91">
        <f t="shared" si="168"/>
        <v>11</v>
      </c>
      <c r="E405" s="91">
        <f t="shared" si="168"/>
        <v>12</v>
      </c>
      <c r="F405" s="91">
        <f t="shared" si="168"/>
        <v>13</v>
      </c>
      <c r="G405" s="91">
        <f t="shared" si="168"/>
        <v>14</v>
      </c>
      <c r="H405" s="91">
        <f t="shared" si="168"/>
        <v>15</v>
      </c>
      <c r="I405" s="92">
        <f>H405+1</f>
        <v>16</v>
      </c>
      <c r="K405" s="122">
        <v>16</v>
      </c>
      <c r="L405" s="103" t="s">
        <v>425</v>
      </c>
      <c r="M405" s="126">
        <v>5</v>
      </c>
      <c r="N405" s="4"/>
      <c r="O405" s="101">
        <f>U404+1</f>
        <v>15</v>
      </c>
      <c r="P405" s="125">
        <f t="shared" si="166"/>
        <v>16</v>
      </c>
      <c r="Q405" s="125">
        <f t="shared" si="166"/>
        <v>17</v>
      </c>
      <c r="R405" s="125">
        <f t="shared" si="166"/>
        <v>18</v>
      </c>
      <c r="S405" s="125">
        <f t="shared" si="166"/>
        <v>19</v>
      </c>
      <c r="T405" s="125">
        <f t="shared" si="166"/>
        <v>20</v>
      </c>
      <c r="U405" s="92">
        <f t="shared" si="166"/>
        <v>21</v>
      </c>
      <c r="W405" s="100">
        <v>21</v>
      </c>
      <c r="X405" s="103" t="s">
        <v>425</v>
      </c>
      <c r="Y405" s="106">
        <v>4</v>
      </c>
      <c r="Z405" s="4"/>
      <c r="AA405" s="101">
        <f>AG404+1</f>
        <v>12</v>
      </c>
      <c r="AB405" s="125">
        <f t="shared" si="169"/>
        <v>13</v>
      </c>
      <c r="AC405" s="97">
        <f t="shared" si="169"/>
        <v>14</v>
      </c>
      <c r="AD405" s="130">
        <f t="shared" si="169"/>
        <v>15</v>
      </c>
      <c r="AE405" s="130">
        <f t="shared" si="167"/>
        <v>16</v>
      </c>
      <c r="AF405" s="97">
        <f t="shared" si="167"/>
        <v>17</v>
      </c>
      <c r="AG405" s="92">
        <f t="shared" si="167"/>
        <v>18</v>
      </c>
      <c r="AI405" s="100">
        <v>25</v>
      </c>
      <c r="AJ405" s="103" t="s">
        <v>425</v>
      </c>
      <c r="AK405" s="106">
        <v>4</v>
      </c>
    </row>
    <row r="406" spans="1:37" x14ac:dyDescent="0.2">
      <c r="A406" s="14">
        <v>406</v>
      </c>
      <c r="C406" s="101">
        <f>I405+1</f>
        <v>17</v>
      </c>
      <c r="D406" s="131">
        <f t="shared" si="168"/>
        <v>18</v>
      </c>
      <c r="E406" s="97">
        <f t="shared" si="168"/>
        <v>19</v>
      </c>
      <c r="F406" s="97">
        <f t="shared" si="168"/>
        <v>20</v>
      </c>
      <c r="G406" s="91">
        <f t="shared" si="168"/>
        <v>21</v>
      </c>
      <c r="H406" s="91">
        <f t="shared" si="168"/>
        <v>22</v>
      </c>
      <c r="I406" s="92">
        <f>H406+1</f>
        <v>23</v>
      </c>
      <c r="K406" s="122">
        <v>17</v>
      </c>
      <c r="L406" s="103" t="s">
        <v>878</v>
      </c>
      <c r="M406" s="126">
        <v>30</v>
      </c>
      <c r="N406" s="4"/>
      <c r="O406" s="101">
        <f>U405+1</f>
        <v>22</v>
      </c>
      <c r="P406" s="125">
        <f t="shared" si="166"/>
        <v>23</v>
      </c>
      <c r="Q406" s="125">
        <f t="shared" si="166"/>
        <v>24</v>
      </c>
      <c r="R406" s="125">
        <f t="shared" si="166"/>
        <v>25</v>
      </c>
      <c r="S406" s="125">
        <f t="shared" si="166"/>
        <v>26</v>
      </c>
      <c r="T406" s="125">
        <f t="shared" si="166"/>
        <v>27</v>
      </c>
      <c r="U406" s="92">
        <f t="shared" si="166"/>
        <v>28</v>
      </c>
      <c r="W406" s="100">
        <v>22</v>
      </c>
      <c r="X406" s="103" t="s">
        <v>878</v>
      </c>
      <c r="Y406" s="106">
        <v>31</v>
      </c>
      <c r="Z406" s="4"/>
      <c r="AA406" s="101">
        <f>AG405+1</f>
        <v>19</v>
      </c>
      <c r="AB406" s="125">
        <f t="shared" si="169"/>
        <v>20</v>
      </c>
      <c r="AC406" s="130">
        <f t="shared" si="169"/>
        <v>21</v>
      </c>
      <c r="AD406" s="125">
        <f t="shared" si="169"/>
        <v>22</v>
      </c>
      <c r="AE406" s="125">
        <f t="shared" si="167"/>
        <v>23</v>
      </c>
      <c r="AF406" s="125">
        <f t="shared" si="167"/>
        <v>24</v>
      </c>
      <c r="AG406" s="92">
        <f t="shared" si="167"/>
        <v>25</v>
      </c>
      <c r="AI406" s="100">
        <v>26</v>
      </c>
      <c r="AJ406" s="103" t="s">
        <v>878</v>
      </c>
      <c r="AK406" s="106">
        <v>30</v>
      </c>
    </row>
    <row r="407" spans="1:37" x14ac:dyDescent="0.2">
      <c r="A407" s="14">
        <v>407</v>
      </c>
      <c r="C407" s="101">
        <f>I406+1</f>
        <v>24</v>
      </c>
      <c r="D407" s="91">
        <f t="shared" ref="D407:I407" si="170">C407+1</f>
        <v>25</v>
      </c>
      <c r="E407" s="91">
        <f t="shared" si="170"/>
        <v>26</v>
      </c>
      <c r="F407" s="91">
        <f t="shared" si="170"/>
        <v>27</v>
      </c>
      <c r="G407" s="91">
        <f t="shared" si="170"/>
        <v>28</v>
      </c>
      <c r="H407" s="91">
        <f t="shared" si="170"/>
        <v>29</v>
      </c>
      <c r="I407" s="92">
        <f t="shared" si="170"/>
        <v>30</v>
      </c>
      <c r="K407" s="122">
        <v>18</v>
      </c>
      <c r="L407" s="111"/>
      <c r="M407" s="127"/>
      <c r="N407" s="4"/>
      <c r="O407" s="101">
        <f>U406+1</f>
        <v>29</v>
      </c>
      <c r="P407" s="125">
        <f>O407+1</f>
        <v>30</v>
      </c>
      <c r="Q407" s="401">
        <f>P407+1</f>
        <v>31</v>
      </c>
      <c r="R407" s="401"/>
      <c r="S407" s="401"/>
      <c r="T407" s="129"/>
      <c r="U407" s="114"/>
      <c r="W407" s="100">
        <v>23</v>
      </c>
      <c r="X407" s="111"/>
      <c r="Y407" s="128"/>
      <c r="Z407" s="4"/>
      <c r="AA407" s="101">
        <f>AG406+1</f>
        <v>26</v>
      </c>
      <c r="AB407" s="125">
        <f t="shared" si="169"/>
        <v>27</v>
      </c>
      <c r="AC407" s="125">
        <f t="shared" si="169"/>
        <v>28</v>
      </c>
      <c r="AD407" s="125">
        <f t="shared" si="169"/>
        <v>29</v>
      </c>
      <c r="AE407" s="125">
        <f>AD407+1</f>
        <v>30</v>
      </c>
      <c r="AF407" s="129"/>
      <c r="AG407" s="114"/>
      <c r="AI407" s="100">
        <v>27</v>
      </c>
      <c r="AJ407" s="111"/>
      <c r="AK407" s="112"/>
    </row>
    <row r="408" spans="1:37" x14ac:dyDescent="0.2">
      <c r="A408" s="14">
        <v>408</v>
      </c>
      <c r="C408" s="101"/>
      <c r="D408" s="91"/>
      <c r="E408" s="113"/>
      <c r="F408" s="113"/>
      <c r="G408" s="113"/>
      <c r="H408" s="113"/>
      <c r="I408" s="114"/>
      <c r="K408" s="122"/>
      <c r="L408" s="111"/>
      <c r="M408" s="121"/>
      <c r="N408" s="4"/>
      <c r="O408" s="101"/>
      <c r="P408" s="125"/>
      <c r="Q408" s="401"/>
      <c r="R408" s="401"/>
      <c r="S408" s="401"/>
      <c r="T408" s="129"/>
      <c r="U408" s="114"/>
      <c r="W408" s="100"/>
      <c r="X408" s="111"/>
      <c r="Y408" s="4"/>
      <c r="Z408" s="4"/>
      <c r="AA408" s="101"/>
      <c r="AB408" s="125"/>
      <c r="AC408" s="125"/>
      <c r="AD408" s="129"/>
      <c r="AE408" s="129"/>
      <c r="AF408" s="129"/>
      <c r="AG408" s="114"/>
      <c r="AI408" s="100"/>
      <c r="AJ408" s="111"/>
      <c r="AK408" s="4"/>
    </row>
    <row r="409" spans="1:37" x14ac:dyDescent="0.2">
      <c r="A409" s="14">
        <v>409</v>
      </c>
      <c r="C409" s="88"/>
      <c r="D409" s="88"/>
      <c r="E409" s="88"/>
      <c r="F409" s="88"/>
      <c r="G409" s="88"/>
      <c r="H409" s="88"/>
      <c r="I409" s="88"/>
      <c r="K409" s="117"/>
      <c r="L409" s="111"/>
      <c r="M409" s="121"/>
      <c r="N409" s="4"/>
      <c r="O409" s="88"/>
      <c r="P409" s="88"/>
      <c r="Q409" s="88"/>
      <c r="R409" s="88"/>
      <c r="S409" s="88"/>
      <c r="T409" s="88"/>
      <c r="U409" s="88"/>
      <c r="W409" s="119"/>
      <c r="X409" s="111"/>
      <c r="Y409" s="4"/>
      <c r="Z409" s="4"/>
      <c r="AA409" s="4"/>
      <c r="AB409" s="4"/>
      <c r="AC409" s="4"/>
      <c r="AD409" s="4"/>
      <c r="AE409" s="4"/>
      <c r="AF409" s="4"/>
      <c r="AG409" s="4"/>
      <c r="AI409" s="120"/>
      <c r="AJ409" s="111"/>
      <c r="AK409" s="4"/>
    </row>
    <row r="410" spans="1:37" x14ac:dyDescent="0.2">
      <c r="A410" s="14">
        <v>410</v>
      </c>
      <c r="C410" s="404" t="s">
        <v>1006</v>
      </c>
      <c r="D410" s="88"/>
      <c r="E410" s="88"/>
      <c r="F410" s="88"/>
      <c r="G410" s="88"/>
      <c r="H410" s="88"/>
      <c r="I410" s="88"/>
      <c r="K410" s="117"/>
      <c r="L410" s="111"/>
      <c r="M410" s="121"/>
      <c r="N410" s="4"/>
      <c r="O410" s="404" t="s">
        <v>1007</v>
      </c>
      <c r="P410" s="88"/>
      <c r="Q410" s="88"/>
      <c r="R410" s="88"/>
      <c r="S410" s="88"/>
      <c r="T410" s="88"/>
      <c r="U410" s="88"/>
      <c r="W410" s="119"/>
      <c r="X410" s="111"/>
      <c r="Y410" s="4"/>
      <c r="Z410" s="4"/>
      <c r="AA410" s="404" t="s">
        <v>1008</v>
      </c>
      <c r="AB410" s="88"/>
      <c r="AC410" s="88"/>
      <c r="AD410" s="88"/>
      <c r="AE410" s="88"/>
      <c r="AF410" s="88"/>
      <c r="AG410" s="88"/>
      <c r="AI410" s="120"/>
      <c r="AJ410" s="111"/>
      <c r="AK410" s="4"/>
    </row>
    <row r="411" spans="1:37" x14ac:dyDescent="0.2">
      <c r="A411" s="14">
        <v>411</v>
      </c>
      <c r="C411" s="55" t="s">
        <v>3</v>
      </c>
      <c r="D411" s="55" t="s">
        <v>177</v>
      </c>
      <c r="E411" s="55" t="s">
        <v>178</v>
      </c>
      <c r="F411" s="55" t="s">
        <v>178</v>
      </c>
      <c r="G411" s="55" t="s">
        <v>9</v>
      </c>
      <c r="H411" s="55" t="s">
        <v>857</v>
      </c>
      <c r="I411" s="55" t="s">
        <v>854</v>
      </c>
      <c r="K411" s="56" t="s">
        <v>877</v>
      </c>
      <c r="L411" s="111"/>
      <c r="M411" s="121"/>
      <c r="N411" s="4"/>
      <c r="O411" s="55" t="s">
        <v>3</v>
      </c>
      <c r="P411" s="55" t="s">
        <v>177</v>
      </c>
      <c r="Q411" s="55" t="s">
        <v>178</v>
      </c>
      <c r="R411" s="55" t="s">
        <v>178</v>
      </c>
      <c r="S411" s="55" t="s">
        <v>9</v>
      </c>
      <c r="T411" s="55" t="s">
        <v>857</v>
      </c>
      <c r="U411" s="55" t="s">
        <v>854</v>
      </c>
      <c r="W411" s="56" t="s">
        <v>877</v>
      </c>
      <c r="X411" s="111"/>
      <c r="Y411" s="4"/>
      <c r="Z411" s="4"/>
      <c r="AA411" s="55" t="s">
        <v>3</v>
      </c>
      <c r="AB411" s="55" t="s">
        <v>177</v>
      </c>
      <c r="AC411" s="55" t="s">
        <v>178</v>
      </c>
      <c r="AD411" s="55" t="s">
        <v>178</v>
      </c>
      <c r="AE411" s="55" t="s">
        <v>9</v>
      </c>
      <c r="AF411" s="55" t="s">
        <v>857</v>
      </c>
      <c r="AG411" s="55" t="s">
        <v>854</v>
      </c>
      <c r="AI411" s="56" t="s">
        <v>877</v>
      </c>
      <c r="AJ411" s="111"/>
      <c r="AK411" s="4"/>
    </row>
    <row r="412" spans="1:37" x14ac:dyDescent="0.2">
      <c r="A412" s="14">
        <v>412</v>
      </c>
      <c r="C412" s="58"/>
      <c r="D412" s="408" t="s">
        <v>185</v>
      </c>
      <c r="E412" s="130"/>
      <c r="F412" s="97" t="s">
        <v>185</v>
      </c>
      <c r="G412" s="97" t="s">
        <v>185</v>
      </c>
      <c r="H412" s="125">
        <v>1</v>
      </c>
      <c r="I412" s="407">
        <f>H412+1</f>
        <v>2</v>
      </c>
      <c r="K412" s="122">
        <v>27</v>
      </c>
      <c r="L412" s="94"/>
      <c r="M412" s="123"/>
      <c r="N412" s="4"/>
      <c r="O412" s="414" t="s">
        <v>185</v>
      </c>
      <c r="P412" s="125">
        <v>1</v>
      </c>
      <c r="Q412" s="125">
        <f t="shared" ref="Q412:U414" si="171">P412+1</f>
        <v>2</v>
      </c>
      <c r="R412" s="125">
        <f t="shared" si="171"/>
        <v>3</v>
      </c>
      <c r="S412" s="125">
        <f t="shared" si="171"/>
        <v>4</v>
      </c>
      <c r="T412" s="125">
        <f t="shared" si="171"/>
        <v>5</v>
      </c>
      <c r="U412" s="92">
        <f t="shared" si="171"/>
        <v>6</v>
      </c>
      <c r="W412" s="100">
        <v>32</v>
      </c>
      <c r="X412" s="94"/>
      <c r="Y412" s="49"/>
      <c r="Z412" s="4"/>
      <c r="AA412" s="414" t="s">
        <v>185</v>
      </c>
      <c r="AB412" s="125" t="s">
        <v>185</v>
      </c>
      <c r="AC412" s="125" t="s">
        <v>185</v>
      </c>
      <c r="AD412" s="125" t="s">
        <v>185</v>
      </c>
      <c r="AE412" s="125">
        <v>1</v>
      </c>
      <c r="AF412" s="125">
        <f t="shared" ref="AF412:AG414" si="172">AE412+1</f>
        <v>2</v>
      </c>
      <c r="AG412" s="92">
        <f t="shared" si="172"/>
        <v>3</v>
      </c>
      <c r="AI412" s="100">
        <v>36</v>
      </c>
      <c r="AJ412" s="94"/>
      <c r="AK412" s="49"/>
    </row>
    <row r="413" spans="1:37" x14ac:dyDescent="0.2">
      <c r="A413" s="14">
        <v>413</v>
      </c>
      <c r="C413" s="101">
        <f>I412+1</f>
        <v>3</v>
      </c>
      <c r="D413" s="130">
        <f t="shared" ref="D413:H416" si="173">C413+1</f>
        <v>4</v>
      </c>
      <c r="E413" s="97">
        <f t="shared" si="173"/>
        <v>5</v>
      </c>
      <c r="F413" s="97">
        <f t="shared" si="173"/>
        <v>6</v>
      </c>
      <c r="G413" s="125">
        <f t="shared" si="173"/>
        <v>7</v>
      </c>
      <c r="H413" s="125">
        <f t="shared" si="173"/>
        <v>8</v>
      </c>
      <c r="I413" s="92">
        <f>H413+1</f>
        <v>9</v>
      </c>
      <c r="K413" s="122">
        <v>28</v>
      </c>
      <c r="L413" s="103" t="s">
        <v>418</v>
      </c>
      <c r="M413" s="126">
        <v>5</v>
      </c>
      <c r="N413" s="4"/>
      <c r="O413" s="101">
        <f>U412+1</f>
        <v>7</v>
      </c>
      <c r="P413" s="125">
        <f>O413+1</f>
        <v>8</v>
      </c>
      <c r="Q413" s="125">
        <f t="shared" si="171"/>
        <v>9</v>
      </c>
      <c r="R413" s="125">
        <f t="shared" si="171"/>
        <v>10</v>
      </c>
      <c r="S413" s="125">
        <f t="shared" si="171"/>
        <v>11</v>
      </c>
      <c r="T413" s="125">
        <f t="shared" si="171"/>
        <v>12</v>
      </c>
      <c r="U413" s="92">
        <f t="shared" si="171"/>
        <v>13</v>
      </c>
      <c r="W413" s="100">
        <v>33</v>
      </c>
      <c r="X413" s="103" t="s">
        <v>418</v>
      </c>
      <c r="Y413" s="106">
        <v>4</v>
      </c>
      <c r="Z413" s="4"/>
      <c r="AA413" s="101">
        <f>AG412+1</f>
        <v>4</v>
      </c>
      <c r="AB413" s="125">
        <f t="shared" ref="AB413:AE414" si="174">AA413+1</f>
        <v>5</v>
      </c>
      <c r="AC413" s="125">
        <f t="shared" si="174"/>
        <v>6</v>
      </c>
      <c r="AD413" s="125">
        <f t="shared" si="174"/>
        <v>7</v>
      </c>
      <c r="AE413" s="125">
        <f t="shared" si="174"/>
        <v>8</v>
      </c>
      <c r="AF413" s="125">
        <f t="shared" si="172"/>
        <v>9</v>
      </c>
      <c r="AG413" s="92">
        <f t="shared" si="172"/>
        <v>10</v>
      </c>
      <c r="AI413" s="100">
        <v>37</v>
      </c>
      <c r="AJ413" s="103" t="s">
        <v>418</v>
      </c>
      <c r="AK413" s="106">
        <v>4</v>
      </c>
    </row>
    <row r="414" spans="1:37" x14ac:dyDescent="0.2">
      <c r="A414" s="14">
        <v>414</v>
      </c>
      <c r="C414" s="101">
        <f>I413+1</f>
        <v>10</v>
      </c>
      <c r="D414" s="125">
        <f t="shared" si="173"/>
        <v>11</v>
      </c>
      <c r="E414" s="125">
        <f t="shared" si="173"/>
        <v>12</v>
      </c>
      <c r="F414" s="125">
        <f t="shared" si="173"/>
        <v>13</v>
      </c>
      <c r="G414" s="125">
        <f t="shared" si="173"/>
        <v>14</v>
      </c>
      <c r="H414" s="125">
        <f t="shared" si="173"/>
        <v>15</v>
      </c>
      <c r="I414" s="92">
        <f>H414+1</f>
        <v>16</v>
      </c>
      <c r="K414" s="122">
        <v>29</v>
      </c>
      <c r="L414" s="103" t="s">
        <v>425</v>
      </c>
      <c r="M414" s="126">
        <v>5</v>
      </c>
      <c r="N414" s="4"/>
      <c r="O414" s="101">
        <f>U413+1</f>
        <v>14</v>
      </c>
      <c r="P414" s="125">
        <f>O414+1</f>
        <v>15</v>
      </c>
      <c r="Q414" s="125">
        <f t="shared" si="171"/>
        <v>16</v>
      </c>
      <c r="R414" s="125">
        <f t="shared" si="171"/>
        <v>17</v>
      </c>
      <c r="S414" s="125">
        <f t="shared" si="171"/>
        <v>18</v>
      </c>
      <c r="T414" s="125">
        <f t="shared" si="171"/>
        <v>19</v>
      </c>
      <c r="U414" s="92">
        <f t="shared" si="171"/>
        <v>20</v>
      </c>
      <c r="W414" s="100">
        <v>34</v>
      </c>
      <c r="X414" s="103" t="s">
        <v>425</v>
      </c>
      <c r="Y414" s="106">
        <v>4</v>
      </c>
      <c r="Z414" s="4"/>
      <c r="AA414" s="101">
        <f>AG413+1</f>
        <v>11</v>
      </c>
      <c r="AB414" s="125">
        <f t="shared" si="174"/>
        <v>12</v>
      </c>
      <c r="AC414" s="125">
        <f t="shared" si="174"/>
        <v>13</v>
      </c>
      <c r="AD414" s="125">
        <f t="shared" si="174"/>
        <v>14</v>
      </c>
      <c r="AE414" s="125">
        <f t="shared" si="174"/>
        <v>15</v>
      </c>
      <c r="AF414" s="125">
        <f t="shared" si="172"/>
        <v>16</v>
      </c>
      <c r="AG414" s="92">
        <f t="shared" si="172"/>
        <v>17</v>
      </c>
      <c r="AI414" s="100">
        <v>38</v>
      </c>
      <c r="AJ414" s="103" t="s">
        <v>425</v>
      </c>
      <c r="AK414" s="106">
        <v>4</v>
      </c>
    </row>
    <row r="415" spans="1:37" x14ac:dyDescent="0.2">
      <c r="A415" s="14">
        <v>415</v>
      </c>
      <c r="C415" s="101">
        <f>I414+1</f>
        <v>17</v>
      </c>
      <c r="D415" s="125">
        <f t="shared" si="173"/>
        <v>18</v>
      </c>
      <c r="E415" s="125">
        <f t="shared" si="173"/>
        <v>19</v>
      </c>
      <c r="F415" s="125">
        <f t="shared" si="173"/>
        <v>20</v>
      </c>
      <c r="G415" s="134">
        <f t="shared" si="173"/>
        <v>21</v>
      </c>
      <c r="H415" s="124">
        <f t="shared" si="173"/>
        <v>22</v>
      </c>
      <c r="I415" s="92">
        <f>H415+1</f>
        <v>23</v>
      </c>
      <c r="K415" s="122">
        <v>30</v>
      </c>
      <c r="L415" s="103" t="s">
        <v>878</v>
      </c>
      <c r="M415" s="126">
        <v>31</v>
      </c>
      <c r="N415" s="4"/>
      <c r="O415" s="101">
        <f>U414+1</f>
        <v>21</v>
      </c>
      <c r="P415" s="125">
        <f t="shared" ref="P415:U415" si="175">O415+1</f>
        <v>22</v>
      </c>
      <c r="Q415" s="125">
        <f t="shared" si="175"/>
        <v>23</v>
      </c>
      <c r="R415" s="125">
        <f t="shared" si="175"/>
        <v>24</v>
      </c>
      <c r="S415" s="125">
        <f t="shared" si="175"/>
        <v>25</v>
      </c>
      <c r="T415" s="125">
        <f t="shared" si="175"/>
        <v>26</v>
      </c>
      <c r="U415" s="92">
        <f t="shared" si="175"/>
        <v>27</v>
      </c>
      <c r="W415" s="100">
        <v>35</v>
      </c>
      <c r="X415" s="103" t="s">
        <v>878</v>
      </c>
      <c r="Y415" s="106">
        <v>31</v>
      </c>
      <c r="Z415" s="4"/>
      <c r="AA415" s="101">
        <f>AG414+1</f>
        <v>18</v>
      </c>
      <c r="AB415" s="125">
        <f t="shared" ref="AB415:AG415" si="176">AA415+1</f>
        <v>19</v>
      </c>
      <c r="AC415" s="125">
        <f t="shared" si="176"/>
        <v>20</v>
      </c>
      <c r="AD415" s="125">
        <f t="shared" si="176"/>
        <v>21</v>
      </c>
      <c r="AE415" s="125">
        <f t="shared" si="176"/>
        <v>22</v>
      </c>
      <c r="AF415" s="125">
        <f t="shared" si="176"/>
        <v>23</v>
      </c>
      <c r="AG415" s="92">
        <f t="shared" si="176"/>
        <v>24</v>
      </c>
      <c r="AI415" s="100">
        <v>39</v>
      </c>
      <c r="AJ415" s="103" t="s">
        <v>878</v>
      </c>
      <c r="AK415" s="106">
        <v>30</v>
      </c>
    </row>
    <row r="416" spans="1:37" x14ac:dyDescent="0.2">
      <c r="A416" s="14">
        <v>416</v>
      </c>
      <c r="C416" s="101">
        <f>I415+1</f>
        <v>24</v>
      </c>
      <c r="D416" s="134">
        <f t="shared" si="173"/>
        <v>25</v>
      </c>
      <c r="E416" s="125">
        <f t="shared" si="173"/>
        <v>26</v>
      </c>
      <c r="F416" s="125">
        <f t="shared" si="173"/>
        <v>27</v>
      </c>
      <c r="G416" s="125">
        <f t="shared" si="173"/>
        <v>28</v>
      </c>
      <c r="H416" s="125">
        <f t="shared" si="173"/>
        <v>29</v>
      </c>
      <c r="I416" s="92">
        <f>H416+1</f>
        <v>30</v>
      </c>
      <c r="K416" s="122">
        <v>31</v>
      </c>
      <c r="L416" s="111"/>
      <c r="M416" s="127"/>
      <c r="N416" s="4"/>
      <c r="O416" s="101">
        <f>U415+1</f>
        <v>28</v>
      </c>
      <c r="P416" s="125">
        <f>O416+1</f>
        <v>29</v>
      </c>
      <c r="Q416" s="125">
        <f>P416+1</f>
        <v>30</v>
      </c>
      <c r="R416" s="125">
        <f>Q416+1</f>
        <v>31</v>
      </c>
      <c r="S416" s="125"/>
      <c r="T416" s="125"/>
      <c r="U416" s="92"/>
      <c r="W416" s="100">
        <v>36</v>
      </c>
      <c r="X416" s="111"/>
      <c r="Y416" s="112"/>
      <c r="Z416" s="4"/>
      <c r="AA416" s="101">
        <f>AG415+1</f>
        <v>25</v>
      </c>
      <c r="AB416" s="125">
        <f>AA416+1</f>
        <v>26</v>
      </c>
      <c r="AC416" s="125">
        <f>AB416+1</f>
        <v>27</v>
      </c>
      <c r="AD416" s="415">
        <f>AC416+1</f>
        <v>28</v>
      </c>
      <c r="AE416" s="415">
        <f>AD416+1</f>
        <v>29</v>
      </c>
      <c r="AF416" s="415">
        <f>AE416+1</f>
        <v>30</v>
      </c>
      <c r="AG416" s="114"/>
      <c r="AI416" s="413">
        <v>40</v>
      </c>
      <c r="AJ416" s="111"/>
      <c r="AK416" s="112"/>
    </row>
    <row r="417" spans="1:37" x14ac:dyDescent="0.2">
      <c r="A417" s="14">
        <v>417</v>
      </c>
      <c r="C417" s="101">
        <f>I416+1</f>
        <v>31</v>
      </c>
      <c r="D417" s="125"/>
      <c r="E417" s="401"/>
      <c r="F417" s="129"/>
      <c r="G417" s="129"/>
      <c r="H417" s="129"/>
      <c r="I417" s="114"/>
      <c r="K417" s="122">
        <v>32</v>
      </c>
      <c r="L417" s="111"/>
      <c r="M417" s="121"/>
      <c r="N417" s="4"/>
      <c r="O417" s="101"/>
      <c r="P417" s="125"/>
      <c r="Q417" s="125"/>
      <c r="R417" s="125"/>
      <c r="S417" s="125"/>
      <c r="T417" s="125"/>
      <c r="U417" s="92"/>
      <c r="W417" s="100"/>
      <c r="X417" s="111"/>
      <c r="Y417" s="4"/>
      <c r="Z417" s="4"/>
      <c r="AA417" s="101"/>
      <c r="AB417" s="125"/>
      <c r="AC417" s="125"/>
      <c r="AD417" s="129"/>
      <c r="AE417" s="129"/>
      <c r="AF417" s="129"/>
      <c r="AG417" s="114"/>
      <c r="AI417" s="413"/>
      <c r="AJ417" s="111"/>
      <c r="AK417" s="4"/>
    </row>
    <row r="418" spans="1:37" x14ac:dyDescent="0.2">
      <c r="A418" s="14">
        <v>418</v>
      </c>
      <c r="C418" s="88"/>
      <c r="D418" s="88"/>
      <c r="E418" s="88"/>
      <c r="F418" s="88"/>
      <c r="G418" s="88"/>
      <c r="H418" s="88"/>
      <c r="I418" s="88"/>
      <c r="K418" s="117"/>
      <c r="L418" s="111"/>
      <c r="M418" s="121"/>
      <c r="N418" s="4"/>
      <c r="O418" s="88"/>
      <c r="P418" s="88"/>
      <c r="Q418" s="88"/>
      <c r="R418" s="88"/>
      <c r="S418" s="88"/>
      <c r="T418" s="88"/>
      <c r="U418" s="88"/>
      <c r="W418" s="119"/>
      <c r="X418" s="111"/>
      <c r="Y418" s="4"/>
      <c r="Z418" s="4"/>
      <c r="AA418" s="4"/>
      <c r="AB418" s="4"/>
      <c r="AC418" s="4"/>
      <c r="AD418" s="4"/>
      <c r="AE418" s="4"/>
      <c r="AF418" s="4"/>
      <c r="AG418" s="4"/>
      <c r="AI418" s="120"/>
      <c r="AJ418" s="111"/>
      <c r="AK418" s="4"/>
    </row>
    <row r="419" spans="1:37" x14ac:dyDescent="0.2">
      <c r="A419" s="14">
        <v>419</v>
      </c>
      <c r="C419" s="404" t="s">
        <v>1009</v>
      </c>
      <c r="D419" s="88"/>
      <c r="E419" s="88"/>
      <c r="F419" s="88"/>
      <c r="G419" s="88"/>
      <c r="H419" s="88"/>
      <c r="I419" s="88"/>
      <c r="K419" s="117"/>
      <c r="L419" s="111"/>
      <c r="M419" s="121"/>
      <c r="N419" s="4"/>
      <c r="O419" s="404" t="s">
        <v>1010</v>
      </c>
      <c r="P419" s="88"/>
      <c r="Q419" s="88"/>
      <c r="R419" s="88"/>
      <c r="S419" s="88"/>
      <c r="T419" s="88"/>
      <c r="U419" s="88"/>
      <c r="W419" s="119"/>
      <c r="X419" s="111"/>
      <c r="Y419" s="4"/>
      <c r="Z419" s="4"/>
      <c r="AA419" s="404" t="s">
        <v>1011</v>
      </c>
      <c r="AB419" s="88"/>
      <c r="AC419" s="88"/>
      <c r="AD419" s="88"/>
      <c r="AE419" s="88"/>
      <c r="AF419" s="88"/>
      <c r="AG419" s="88"/>
      <c r="AI419" s="120"/>
      <c r="AJ419" s="111"/>
      <c r="AK419" s="4"/>
    </row>
    <row r="420" spans="1:37" x14ac:dyDescent="0.2">
      <c r="A420" s="14">
        <v>420</v>
      </c>
      <c r="C420" s="55" t="s">
        <v>3</v>
      </c>
      <c r="D420" s="55" t="s">
        <v>177</v>
      </c>
      <c r="E420" s="55" t="s">
        <v>178</v>
      </c>
      <c r="F420" s="55" t="s">
        <v>178</v>
      </c>
      <c r="G420" s="55" t="s">
        <v>9</v>
      </c>
      <c r="H420" s="55" t="s">
        <v>857</v>
      </c>
      <c r="I420" s="55" t="s">
        <v>854</v>
      </c>
      <c r="K420" s="56" t="s">
        <v>877</v>
      </c>
      <c r="L420" s="111"/>
      <c r="M420" s="121"/>
      <c r="N420" s="4"/>
      <c r="O420" s="55" t="s">
        <v>3</v>
      </c>
      <c r="P420" s="55" t="s">
        <v>177</v>
      </c>
      <c r="Q420" s="55" t="s">
        <v>178</v>
      </c>
      <c r="R420" s="55" t="s">
        <v>178</v>
      </c>
      <c r="S420" s="55" t="s">
        <v>9</v>
      </c>
      <c r="T420" s="55" t="s">
        <v>857</v>
      </c>
      <c r="U420" s="55" t="s">
        <v>854</v>
      </c>
      <c r="W420" s="56" t="s">
        <v>877</v>
      </c>
      <c r="X420" s="111"/>
      <c r="Y420" s="4"/>
      <c r="Z420" s="4"/>
      <c r="AA420" s="55" t="s">
        <v>3</v>
      </c>
      <c r="AB420" s="55" t="s">
        <v>177</v>
      </c>
      <c r="AC420" s="55" t="s">
        <v>178</v>
      </c>
      <c r="AD420" s="55" t="s">
        <v>178</v>
      </c>
      <c r="AE420" s="55" t="s">
        <v>9</v>
      </c>
      <c r="AF420" s="55" t="s">
        <v>857</v>
      </c>
      <c r="AG420" s="55" t="s">
        <v>854</v>
      </c>
      <c r="AI420" s="56" t="s">
        <v>877</v>
      </c>
      <c r="AJ420" s="111"/>
      <c r="AK420" s="4"/>
    </row>
    <row r="421" spans="1:37" x14ac:dyDescent="0.2">
      <c r="A421" s="14">
        <v>421</v>
      </c>
      <c r="C421" s="101"/>
      <c r="D421" s="125"/>
      <c r="E421" s="125" t="s">
        <v>185</v>
      </c>
      <c r="F421" s="125"/>
      <c r="G421" s="125" t="s">
        <v>185</v>
      </c>
      <c r="H421" s="125" t="s">
        <v>185</v>
      </c>
      <c r="I421" s="92">
        <v>1</v>
      </c>
      <c r="K421" s="122">
        <v>40</v>
      </c>
      <c r="L421" s="94"/>
      <c r="M421" s="123"/>
      <c r="N421" s="4"/>
      <c r="O421" s="414" t="s">
        <v>185</v>
      </c>
      <c r="P421" s="125" t="s">
        <v>185</v>
      </c>
      <c r="Q421" s="125">
        <v>1</v>
      </c>
      <c r="R421" s="125">
        <f t="shared" ref="R421:U423" si="177">Q421+1</f>
        <v>2</v>
      </c>
      <c r="S421" s="125">
        <f t="shared" si="177"/>
        <v>3</v>
      </c>
      <c r="T421" s="125">
        <f t="shared" si="177"/>
        <v>4</v>
      </c>
      <c r="U421" s="92">
        <f t="shared" si="177"/>
        <v>5</v>
      </c>
      <c r="W421" s="100">
        <v>45</v>
      </c>
      <c r="X421" s="94"/>
      <c r="Y421" s="49"/>
      <c r="Z421" s="4"/>
      <c r="AA421" s="414" t="s">
        <v>185</v>
      </c>
      <c r="AB421" s="125"/>
      <c r="AC421" s="125" t="s">
        <v>185</v>
      </c>
      <c r="AD421" s="125" t="s">
        <v>185</v>
      </c>
      <c r="AE421" s="125">
        <v>1</v>
      </c>
      <c r="AF421" s="125">
        <f t="shared" ref="AF421:AG423" si="178">AE421+1</f>
        <v>2</v>
      </c>
      <c r="AG421" s="92">
        <f t="shared" si="178"/>
        <v>3</v>
      </c>
      <c r="AI421" s="100">
        <v>49</v>
      </c>
      <c r="AJ421" s="94"/>
      <c r="AK421" s="152"/>
    </row>
    <row r="422" spans="1:37" x14ac:dyDescent="0.2">
      <c r="A422" s="14">
        <v>422</v>
      </c>
      <c r="C422" s="101">
        <f>I421+1</f>
        <v>2</v>
      </c>
      <c r="D422" s="124">
        <f t="shared" ref="D422:I424" si="179">C422+1</f>
        <v>3</v>
      </c>
      <c r="E422" s="131">
        <f t="shared" si="179"/>
        <v>4</v>
      </c>
      <c r="F422" s="125">
        <f t="shared" si="179"/>
        <v>5</v>
      </c>
      <c r="G422" s="125">
        <f t="shared" si="179"/>
        <v>6</v>
      </c>
      <c r="H422" s="125">
        <f t="shared" si="179"/>
        <v>7</v>
      </c>
      <c r="I422" s="92">
        <f t="shared" si="179"/>
        <v>8</v>
      </c>
      <c r="K422" s="122">
        <v>41</v>
      </c>
      <c r="L422" s="103" t="s">
        <v>418</v>
      </c>
      <c r="M422" s="126">
        <v>5</v>
      </c>
      <c r="N422" s="4"/>
      <c r="O422" s="101">
        <f>U421+1</f>
        <v>6</v>
      </c>
      <c r="P422" s="125">
        <f>O422+1</f>
        <v>7</v>
      </c>
      <c r="Q422" s="125">
        <f>P422+1</f>
        <v>8</v>
      </c>
      <c r="R422" s="125">
        <f t="shared" si="177"/>
        <v>9</v>
      </c>
      <c r="S422" s="125">
        <f t="shared" si="177"/>
        <v>10</v>
      </c>
      <c r="T422" s="125">
        <f t="shared" si="177"/>
        <v>11</v>
      </c>
      <c r="U422" s="92">
        <f t="shared" si="177"/>
        <v>12</v>
      </c>
      <c r="W422" s="100">
        <v>46</v>
      </c>
      <c r="X422" s="103" t="s">
        <v>418</v>
      </c>
      <c r="Y422" s="106">
        <v>5</v>
      </c>
      <c r="Z422" s="4"/>
      <c r="AA422" s="101">
        <f>AG421+1</f>
        <v>4</v>
      </c>
      <c r="AB422" s="125">
        <f t="shared" ref="AB422:AE423" si="180">AA422+1</f>
        <v>5</v>
      </c>
      <c r="AC422" s="125">
        <f t="shared" si="180"/>
        <v>6</v>
      </c>
      <c r="AD422" s="125">
        <f t="shared" si="180"/>
        <v>7</v>
      </c>
      <c r="AE422" s="125">
        <f t="shared" si="180"/>
        <v>8</v>
      </c>
      <c r="AF422" s="125">
        <f t="shared" si="178"/>
        <v>9</v>
      </c>
      <c r="AG422" s="92">
        <f t="shared" si="178"/>
        <v>10</v>
      </c>
      <c r="AI422" s="100">
        <v>50</v>
      </c>
      <c r="AJ422" s="103" t="s">
        <v>418</v>
      </c>
      <c r="AK422" s="106">
        <v>4</v>
      </c>
    </row>
    <row r="423" spans="1:37" x14ac:dyDescent="0.2">
      <c r="A423" s="14">
        <v>423</v>
      </c>
      <c r="C423" s="101">
        <f>I422+1</f>
        <v>9</v>
      </c>
      <c r="D423" s="125">
        <f t="shared" si="179"/>
        <v>10</v>
      </c>
      <c r="E423" s="125">
        <f t="shared" si="179"/>
        <v>11</v>
      </c>
      <c r="F423" s="125">
        <f t="shared" si="179"/>
        <v>12</v>
      </c>
      <c r="G423" s="125">
        <f t="shared" si="179"/>
        <v>13</v>
      </c>
      <c r="H423" s="125">
        <f t="shared" si="179"/>
        <v>14</v>
      </c>
      <c r="I423" s="92">
        <f t="shared" si="179"/>
        <v>15</v>
      </c>
      <c r="K423" s="122">
        <v>42</v>
      </c>
      <c r="L423" s="103" t="s">
        <v>425</v>
      </c>
      <c r="M423" s="126">
        <v>5</v>
      </c>
      <c r="N423" s="4"/>
      <c r="O423" s="101">
        <f>U422+1</f>
        <v>13</v>
      </c>
      <c r="P423" s="125">
        <f>O423+1</f>
        <v>14</v>
      </c>
      <c r="Q423" s="125">
        <f>P423+1</f>
        <v>15</v>
      </c>
      <c r="R423" s="125">
        <f t="shared" si="177"/>
        <v>16</v>
      </c>
      <c r="S423" s="125">
        <f t="shared" si="177"/>
        <v>17</v>
      </c>
      <c r="T423" s="125">
        <f t="shared" si="177"/>
        <v>18</v>
      </c>
      <c r="U423" s="92">
        <f t="shared" si="177"/>
        <v>19</v>
      </c>
      <c r="W423" s="100">
        <v>47</v>
      </c>
      <c r="X423" s="103" t="s">
        <v>425</v>
      </c>
      <c r="Y423" s="106">
        <v>4</v>
      </c>
      <c r="Z423" s="4"/>
      <c r="AA423" s="101">
        <f>AG422+1</f>
        <v>11</v>
      </c>
      <c r="AB423" s="125">
        <f t="shared" si="180"/>
        <v>12</v>
      </c>
      <c r="AC423" s="125">
        <f t="shared" si="180"/>
        <v>13</v>
      </c>
      <c r="AD423" s="125">
        <f t="shared" si="180"/>
        <v>14</v>
      </c>
      <c r="AE423" s="125">
        <f t="shared" si="180"/>
        <v>15</v>
      </c>
      <c r="AF423" s="124">
        <f t="shared" si="178"/>
        <v>16</v>
      </c>
      <c r="AG423" s="92">
        <f t="shared" si="178"/>
        <v>17</v>
      </c>
      <c r="AI423" s="100">
        <v>51</v>
      </c>
      <c r="AJ423" s="103" t="s">
        <v>425</v>
      </c>
      <c r="AK423" s="106">
        <v>4</v>
      </c>
    </row>
    <row r="424" spans="1:37" x14ac:dyDescent="0.2">
      <c r="A424" s="14">
        <v>424</v>
      </c>
      <c r="C424" s="101">
        <f>I423+1</f>
        <v>16</v>
      </c>
      <c r="D424" s="125">
        <f t="shared" si="179"/>
        <v>17</v>
      </c>
      <c r="E424" s="125">
        <f t="shared" si="179"/>
        <v>18</v>
      </c>
      <c r="F424" s="125">
        <f t="shared" si="179"/>
        <v>19</v>
      </c>
      <c r="G424" s="125">
        <f t="shared" si="179"/>
        <v>20</v>
      </c>
      <c r="H424" s="125">
        <f t="shared" si="179"/>
        <v>21</v>
      </c>
      <c r="I424" s="92">
        <f t="shared" si="179"/>
        <v>22</v>
      </c>
      <c r="K424" s="122">
        <v>43</v>
      </c>
      <c r="L424" s="103" t="s">
        <v>878</v>
      </c>
      <c r="M424" s="126">
        <v>31</v>
      </c>
      <c r="N424" s="4"/>
      <c r="O424" s="101">
        <f>U423+1</f>
        <v>20</v>
      </c>
      <c r="P424" s="125">
        <f t="shared" ref="P424:U424" si="181">O424+1</f>
        <v>21</v>
      </c>
      <c r="Q424" s="125">
        <f t="shared" si="181"/>
        <v>22</v>
      </c>
      <c r="R424" s="125">
        <f t="shared" si="181"/>
        <v>23</v>
      </c>
      <c r="S424" s="125">
        <f t="shared" si="181"/>
        <v>24</v>
      </c>
      <c r="T424" s="125">
        <f t="shared" si="181"/>
        <v>25</v>
      </c>
      <c r="U424" s="92">
        <f t="shared" si="181"/>
        <v>26</v>
      </c>
      <c r="W424" s="100">
        <v>48</v>
      </c>
      <c r="X424" s="103" t="s">
        <v>878</v>
      </c>
      <c r="Y424" s="106">
        <v>30</v>
      </c>
      <c r="Z424" s="4"/>
      <c r="AA424" s="101">
        <f>AG423+1</f>
        <v>18</v>
      </c>
      <c r="AB424" s="125">
        <f t="shared" ref="AB424:AG425" si="182">AA424+1</f>
        <v>19</v>
      </c>
      <c r="AC424" s="125">
        <f t="shared" si="182"/>
        <v>20</v>
      </c>
      <c r="AD424" s="125">
        <f t="shared" si="182"/>
        <v>21</v>
      </c>
      <c r="AE424" s="125">
        <f t="shared" si="182"/>
        <v>22</v>
      </c>
      <c r="AF424" s="125">
        <f t="shared" si="182"/>
        <v>23</v>
      </c>
      <c r="AG424" s="92">
        <f t="shared" si="182"/>
        <v>24</v>
      </c>
      <c r="AI424" s="100">
        <v>52</v>
      </c>
      <c r="AJ424" s="103" t="s">
        <v>878</v>
      </c>
      <c r="AK424" s="106">
        <v>31</v>
      </c>
    </row>
    <row r="425" spans="1:37" x14ac:dyDescent="0.2">
      <c r="A425" s="14">
        <v>425</v>
      </c>
      <c r="C425" s="101">
        <f>I424+1</f>
        <v>23</v>
      </c>
      <c r="D425" s="125">
        <f t="shared" ref="D425:I425" si="183">C425+1</f>
        <v>24</v>
      </c>
      <c r="E425" s="125">
        <f t="shared" si="183"/>
        <v>25</v>
      </c>
      <c r="F425" s="125">
        <f t="shared" si="183"/>
        <v>26</v>
      </c>
      <c r="G425" s="125">
        <f t="shared" si="183"/>
        <v>27</v>
      </c>
      <c r="H425" s="125">
        <f t="shared" si="183"/>
        <v>28</v>
      </c>
      <c r="I425" s="417">
        <f t="shared" si="183"/>
        <v>29</v>
      </c>
      <c r="K425" s="122">
        <v>44</v>
      </c>
      <c r="L425" s="4"/>
      <c r="M425" s="112"/>
      <c r="N425" s="4"/>
      <c r="O425" s="101">
        <f>U424+1</f>
        <v>27</v>
      </c>
      <c r="P425" s="125">
        <f>O425+1</f>
        <v>28</v>
      </c>
      <c r="Q425" s="125">
        <f>P425+1</f>
        <v>29</v>
      </c>
      <c r="R425" s="125">
        <f>Q425+1</f>
        <v>30</v>
      </c>
      <c r="S425" s="129"/>
      <c r="T425" s="129"/>
      <c r="U425" s="114"/>
      <c r="W425" s="100">
        <v>49</v>
      </c>
      <c r="X425" s="111"/>
      <c r="Y425" s="112"/>
      <c r="Z425" s="4"/>
      <c r="AA425" s="101">
        <f>AG424+1</f>
        <v>25</v>
      </c>
      <c r="AB425" s="125">
        <f t="shared" si="182"/>
        <v>26</v>
      </c>
      <c r="AC425" s="125">
        <f t="shared" si="182"/>
        <v>27</v>
      </c>
      <c r="AD425" s="125">
        <f t="shared" si="182"/>
        <v>28</v>
      </c>
      <c r="AE425" s="415">
        <f t="shared" si="182"/>
        <v>29</v>
      </c>
      <c r="AF425" s="415">
        <f t="shared" si="182"/>
        <v>30</v>
      </c>
      <c r="AG425" s="417">
        <f t="shared" si="182"/>
        <v>31</v>
      </c>
      <c r="AI425" s="255">
        <v>53</v>
      </c>
      <c r="AJ425" s="111"/>
      <c r="AK425" s="4"/>
    </row>
    <row r="426" spans="1:37" x14ac:dyDescent="0.2">
      <c r="A426" s="14">
        <v>426</v>
      </c>
      <c r="C426" s="414">
        <f>I425+1</f>
        <v>30</v>
      </c>
      <c r="D426" s="125">
        <f>C426+1</f>
        <v>31</v>
      </c>
      <c r="E426" s="125"/>
      <c r="F426" s="125"/>
      <c r="G426" s="125"/>
      <c r="H426" s="125"/>
      <c r="I426" s="114"/>
      <c r="K426" s="122">
        <v>45</v>
      </c>
      <c r="L426" s="4"/>
      <c r="M426" s="4"/>
      <c r="N426" s="4"/>
      <c r="O426" s="101"/>
      <c r="P426" s="125"/>
      <c r="Q426" s="129"/>
      <c r="R426" s="129"/>
      <c r="S426" s="129"/>
      <c r="T426" s="129"/>
      <c r="U426" s="114"/>
      <c r="V426" s="133"/>
      <c r="W426" s="100"/>
      <c r="X426" s="4"/>
      <c r="Y426" s="4"/>
      <c r="Z426" s="4"/>
      <c r="AA426" s="101"/>
      <c r="AB426" s="125"/>
      <c r="AC426" s="125"/>
      <c r="AD426" s="125"/>
      <c r="AE426" s="129"/>
      <c r="AF426" s="129"/>
      <c r="AG426" s="114"/>
      <c r="AI426" s="116"/>
      <c r="AJ426" s="4"/>
      <c r="AK426" s="4"/>
    </row>
    <row r="427" spans="1:37" x14ac:dyDescent="0.2">
      <c r="A427" s="14">
        <v>427</v>
      </c>
      <c r="C427" s="88"/>
      <c r="D427" s="88"/>
      <c r="E427" s="88"/>
      <c r="F427" s="88"/>
      <c r="G427" s="88"/>
      <c r="H427" s="88"/>
      <c r="I427" s="8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88"/>
      <c r="AB427" s="88"/>
      <c r="AC427" s="88"/>
      <c r="AD427" s="88"/>
      <c r="AE427" s="88"/>
      <c r="AF427" s="88"/>
      <c r="AG427" s="88"/>
      <c r="AH427" s="4"/>
      <c r="AI427" s="4"/>
      <c r="AJ427" s="4"/>
      <c r="AK427" s="4"/>
    </row>
    <row r="428" spans="1:37" ht="12.75" x14ac:dyDescent="0.2">
      <c r="A428" s="14">
        <v>428</v>
      </c>
      <c r="C428" s="157"/>
      <c r="D428" s="141"/>
      <c r="E428" s="141"/>
      <c r="F428" s="141"/>
      <c r="G428" s="141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1"/>
      <c r="S428" s="140"/>
      <c r="T428" s="140"/>
      <c r="U428" s="140"/>
      <c r="V428" s="140"/>
      <c r="W428" s="140"/>
      <c r="X428" s="142" t="s">
        <v>1012</v>
      </c>
      <c r="Y428" s="141"/>
      <c r="Z428" s="4"/>
      <c r="AA428" s="88"/>
      <c r="AB428" s="88"/>
      <c r="AC428" s="88"/>
      <c r="AD428" s="88"/>
      <c r="AH428" s="153" t="s">
        <v>888</v>
      </c>
      <c r="AI428" s="144">
        <f>(M395+Y395+AK395+M404+Y404+AK404+M413+Y413+AK413+M422+Y422+AK422)</f>
        <v>53</v>
      </c>
    </row>
    <row r="429" spans="1:37" x14ac:dyDescent="0.2">
      <c r="A429" s="14">
        <v>429</v>
      </c>
      <c r="Z429" s="4"/>
      <c r="AA429" s="88"/>
      <c r="AB429" s="88"/>
      <c r="AC429" s="88"/>
      <c r="AD429" s="88"/>
      <c r="AH429" s="153" t="s">
        <v>889</v>
      </c>
      <c r="AI429" s="145">
        <f>(M396+Y396+AK396+M405+Y405+AK405+M414+Y414+AK414+M423+Y423+AK423)</f>
        <v>52</v>
      </c>
    </row>
    <row r="430" spans="1:37" x14ac:dyDescent="0.2">
      <c r="A430" s="14">
        <v>430</v>
      </c>
      <c r="C430" s="135"/>
      <c r="H430" s="4"/>
      <c r="I430" s="4"/>
      <c r="J430" s="4"/>
      <c r="K430" s="4"/>
      <c r="L430" s="4"/>
      <c r="M430" s="4"/>
      <c r="N430" s="4"/>
      <c r="O430" s="4"/>
      <c r="P430" s="4"/>
      <c r="Q430" s="4"/>
      <c r="S430" s="4"/>
      <c r="T430" s="4"/>
      <c r="U430" s="4"/>
      <c r="V430" s="4"/>
      <c r="W430" s="4"/>
      <c r="Z430" s="4"/>
      <c r="AA430" s="88"/>
      <c r="AB430" s="88"/>
      <c r="AC430" s="88"/>
      <c r="AD430" s="88"/>
      <c r="AH430" s="153" t="s">
        <v>890</v>
      </c>
      <c r="AI430" s="154">
        <f>(M397+Y397+AK397+M406+Y406+AK406+M415+Y415+AK415+M424+Y424+AK424)</f>
        <v>366</v>
      </c>
      <c r="AJ430" s="147" t="str">
        <f>IF(AI430&gt;365,"BISIESTO","NORMAL")</f>
        <v>BISIESTO</v>
      </c>
    </row>
    <row r="431" spans="1:37" x14ac:dyDescent="0.2">
      <c r="A431" s="14">
        <v>431</v>
      </c>
      <c r="C431" s="135"/>
      <c r="H431" s="4"/>
      <c r="I431" s="4"/>
      <c r="J431" s="4"/>
      <c r="K431" s="4"/>
      <c r="L431" s="4"/>
      <c r="M431" s="4"/>
      <c r="N431" s="4"/>
      <c r="O431" s="4"/>
      <c r="P431" s="4"/>
      <c r="Q431" s="4"/>
      <c r="S431" s="4"/>
      <c r="T431" s="4"/>
      <c r="U431" s="4"/>
      <c r="V431" s="4"/>
      <c r="W431" s="4"/>
      <c r="Z431" s="4"/>
      <c r="AA431" s="88"/>
      <c r="AB431" s="88"/>
      <c r="AC431" s="88"/>
      <c r="AD431" s="88"/>
      <c r="AH431" s="153" t="s">
        <v>892</v>
      </c>
      <c r="AI431" s="149">
        <v>53</v>
      </c>
    </row>
    <row r="432" spans="1:37" x14ac:dyDescent="0.2">
      <c r="A432" s="14">
        <v>432</v>
      </c>
    </row>
    <row r="433" spans="1:37" ht="12.75" x14ac:dyDescent="0.2">
      <c r="A433" s="14">
        <v>433</v>
      </c>
      <c r="C433" s="85" t="s">
        <v>1013</v>
      </c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</row>
    <row r="434" spans="1:37" x14ac:dyDescent="0.2">
      <c r="A434" s="14">
        <v>434</v>
      </c>
    </row>
    <row r="435" spans="1:37" x14ac:dyDescent="0.2">
      <c r="A435" s="14">
        <v>435</v>
      </c>
      <c r="C435" s="404" t="s">
        <v>1014</v>
      </c>
      <c r="D435" s="88"/>
      <c r="E435" s="88"/>
      <c r="F435" s="88"/>
      <c r="G435" s="88"/>
      <c r="H435" s="88"/>
      <c r="I435" s="88"/>
      <c r="J435" s="4"/>
      <c r="K435" s="4"/>
      <c r="L435" s="89"/>
      <c r="M435" s="90"/>
      <c r="N435" s="4"/>
      <c r="O435" s="404" t="s">
        <v>1015</v>
      </c>
      <c r="P435" s="88"/>
      <c r="Q435" s="88"/>
      <c r="R435" s="88"/>
      <c r="S435" s="88"/>
      <c r="T435" s="88"/>
      <c r="U435" s="88"/>
      <c r="V435" s="4"/>
      <c r="W435" s="4"/>
      <c r="X435" s="4"/>
      <c r="Y435" s="4"/>
      <c r="Z435" s="4"/>
      <c r="AA435" s="404" t="s">
        <v>1016</v>
      </c>
      <c r="AB435" s="88"/>
      <c r="AC435" s="88"/>
      <c r="AD435" s="88"/>
      <c r="AE435" s="88"/>
      <c r="AF435" s="88"/>
      <c r="AG435" s="88"/>
      <c r="AH435" s="4"/>
      <c r="AI435" s="4"/>
      <c r="AJ435" s="4"/>
      <c r="AK435" s="4"/>
    </row>
    <row r="436" spans="1:37" x14ac:dyDescent="0.2">
      <c r="A436" s="14">
        <v>436</v>
      </c>
      <c r="C436" s="55" t="s">
        <v>3</v>
      </c>
      <c r="D436" s="55" t="s">
        <v>177</v>
      </c>
      <c r="E436" s="55" t="s">
        <v>178</v>
      </c>
      <c r="F436" s="55" t="s">
        <v>178</v>
      </c>
      <c r="G436" s="55" t="s">
        <v>9</v>
      </c>
      <c r="H436" s="55" t="s">
        <v>857</v>
      </c>
      <c r="I436" s="55" t="s">
        <v>854</v>
      </c>
      <c r="K436" s="56" t="s">
        <v>877</v>
      </c>
      <c r="L436" s="4"/>
      <c r="M436" s="4"/>
      <c r="N436" s="4"/>
      <c r="O436" s="55" t="s">
        <v>3</v>
      </c>
      <c r="P436" s="55" t="s">
        <v>177</v>
      </c>
      <c r="Q436" s="55" t="s">
        <v>178</v>
      </c>
      <c r="R436" s="55" t="s">
        <v>178</v>
      </c>
      <c r="S436" s="55" t="s">
        <v>9</v>
      </c>
      <c r="T436" s="55" t="s">
        <v>857</v>
      </c>
      <c r="U436" s="55" t="s">
        <v>854</v>
      </c>
      <c r="W436" s="56" t="s">
        <v>877</v>
      </c>
      <c r="X436" s="4"/>
      <c r="Y436" s="57"/>
      <c r="Z436" s="4"/>
      <c r="AA436" s="55" t="s">
        <v>3</v>
      </c>
      <c r="AB436" s="55" t="s">
        <v>177</v>
      </c>
      <c r="AC436" s="55" t="s">
        <v>178</v>
      </c>
      <c r="AD436" s="55" t="s">
        <v>178</v>
      </c>
      <c r="AE436" s="55" t="s">
        <v>9</v>
      </c>
      <c r="AF436" s="55" t="s">
        <v>857</v>
      </c>
      <c r="AG436" s="55" t="s">
        <v>854</v>
      </c>
      <c r="AI436" s="56" t="s">
        <v>877</v>
      </c>
      <c r="AJ436" s="4"/>
      <c r="AK436" s="4"/>
    </row>
    <row r="437" spans="1:37" x14ac:dyDescent="0.2">
      <c r="A437" s="14">
        <v>437</v>
      </c>
      <c r="C437" s="465">
        <f t="shared" ref="C437:I437" si="184">B437+1</f>
        <v>1</v>
      </c>
      <c r="D437" s="91">
        <f t="shared" si="184"/>
        <v>2</v>
      </c>
      <c r="E437" s="91">
        <f t="shared" si="184"/>
        <v>3</v>
      </c>
      <c r="F437" s="91">
        <f t="shared" si="184"/>
        <v>4</v>
      </c>
      <c r="G437" s="91">
        <f t="shared" si="184"/>
        <v>5</v>
      </c>
      <c r="H437" s="91">
        <f t="shared" si="184"/>
        <v>6</v>
      </c>
      <c r="I437" s="405">
        <f t="shared" si="184"/>
        <v>7</v>
      </c>
      <c r="K437" s="93">
        <v>1</v>
      </c>
      <c r="L437" s="94"/>
      <c r="M437" s="95"/>
      <c r="N437" s="96"/>
      <c r="O437" s="101"/>
      <c r="P437" s="91"/>
      <c r="Q437" s="91"/>
      <c r="R437" s="91">
        <f t="shared" ref="R437:U440" si="185">Q437+1</f>
        <v>1</v>
      </c>
      <c r="S437" s="91">
        <f t="shared" si="185"/>
        <v>2</v>
      </c>
      <c r="T437" s="91">
        <f t="shared" si="185"/>
        <v>3</v>
      </c>
      <c r="U437" s="92">
        <f t="shared" si="185"/>
        <v>4</v>
      </c>
      <c r="W437" s="98">
        <v>5</v>
      </c>
      <c r="X437" s="94"/>
      <c r="Y437" s="99"/>
      <c r="Z437" s="96"/>
      <c r="AA437" s="101"/>
      <c r="AB437" s="91"/>
      <c r="AC437" s="91"/>
      <c r="AD437" s="91">
        <v>1</v>
      </c>
      <c r="AE437" s="91">
        <f t="shared" ref="AE437:AG440" si="186">AD437+1</f>
        <v>2</v>
      </c>
      <c r="AF437" s="91">
        <f t="shared" si="186"/>
        <v>3</v>
      </c>
      <c r="AG437" s="92">
        <f t="shared" si="186"/>
        <v>4</v>
      </c>
      <c r="AI437" s="100">
        <v>9</v>
      </c>
      <c r="AJ437" s="94"/>
      <c r="AK437" s="49"/>
    </row>
    <row r="438" spans="1:37" x14ac:dyDescent="0.2">
      <c r="A438" s="14">
        <v>438</v>
      </c>
      <c r="C438" s="101">
        <f>I437+1</f>
        <v>8</v>
      </c>
      <c r="D438" s="91">
        <f t="shared" ref="D438:I440" si="187">C438+1</f>
        <v>9</v>
      </c>
      <c r="E438" s="91">
        <f t="shared" si="187"/>
        <v>10</v>
      </c>
      <c r="F438" s="91">
        <f t="shared" si="187"/>
        <v>11</v>
      </c>
      <c r="G438" s="91">
        <f t="shared" si="187"/>
        <v>12</v>
      </c>
      <c r="H438" s="91">
        <f t="shared" si="187"/>
        <v>13</v>
      </c>
      <c r="I438" s="92">
        <f t="shared" si="187"/>
        <v>14</v>
      </c>
      <c r="K438" s="93">
        <v>2</v>
      </c>
      <c r="L438" s="103" t="s">
        <v>418</v>
      </c>
      <c r="M438" s="104">
        <v>5</v>
      </c>
      <c r="N438" s="96"/>
      <c r="O438" s="101">
        <f>U437+1</f>
        <v>5</v>
      </c>
      <c r="P438" s="91">
        <f t="shared" ref="P438:Q441" si="188">O438+1</f>
        <v>6</v>
      </c>
      <c r="Q438" s="91">
        <f t="shared" si="188"/>
        <v>7</v>
      </c>
      <c r="R438" s="91">
        <f t="shared" si="185"/>
        <v>8</v>
      </c>
      <c r="S438" s="91">
        <f t="shared" si="185"/>
        <v>9</v>
      </c>
      <c r="T438" s="91">
        <f t="shared" si="185"/>
        <v>10</v>
      </c>
      <c r="U438" s="92">
        <f t="shared" si="185"/>
        <v>11</v>
      </c>
      <c r="W438" s="98">
        <v>6</v>
      </c>
      <c r="X438" s="103" t="s">
        <v>418</v>
      </c>
      <c r="Y438" s="105">
        <v>4</v>
      </c>
      <c r="Z438" s="96"/>
      <c r="AA438" s="101">
        <f>AG437+1</f>
        <v>5</v>
      </c>
      <c r="AB438" s="91">
        <f t="shared" ref="AB438:AD441" si="189">AA438+1</f>
        <v>6</v>
      </c>
      <c r="AC438" s="91">
        <f t="shared" si="189"/>
        <v>7</v>
      </c>
      <c r="AD438" s="91">
        <f t="shared" si="189"/>
        <v>8</v>
      </c>
      <c r="AE438" s="91">
        <f t="shared" si="186"/>
        <v>9</v>
      </c>
      <c r="AF438" s="91">
        <f t="shared" si="186"/>
        <v>10</v>
      </c>
      <c r="AG438" s="92">
        <f t="shared" si="186"/>
        <v>11</v>
      </c>
      <c r="AI438" s="100">
        <v>10</v>
      </c>
      <c r="AJ438" s="103" t="s">
        <v>418</v>
      </c>
      <c r="AK438" s="106">
        <v>4</v>
      </c>
    </row>
    <row r="439" spans="1:37" x14ac:dyDescent="0.2">
      <c r="A439" s="14">
        <v>439</v>
      </c>
      <c r="C439" s="101">
        <f>I438+1</f>
        <v>15</v>
      </c>
      <c r="D439" s="91">
        <f t="shared" si="187"/>
        <v>16</v>
      </c>
      <c r="E439" s="91">
        <f t="shared" si="187"/>
        <v>17</v>
      </c>
      <c r="F439" s="91">
        <f t="shared" si="187"/>
        <v>18</v>
      </c>
      <c r="G439" s="91">
        <f t="shared" si="187"/>
        <v>19</v>
      </c>
      <c r="H439" s="91">
        <f t="shared" si="187"/>
        <v>20</v>
      </c>
      <c r="I439" s="92">
        <f t="shared" si="187"/>
        <v>21</v>
      </c>
      <c r="K439" s="93">
        <v>3</v>
      </c>
      <c r="L439" s="103" t="s">
        <v>425</v>
      </c>
      <c r="M439" s="104">
        <v>4</v>
      </c>
      <c r="N439" s="96"/>
      <c r="O439" s="101">
        <f>U438+1</f>
        <v>12</v>
      </c>
      <c r="P439" s="91">
        <f t="shared" si="188"/>
        <v>13</v>
      </c>
      <c r="Q439" s="91">
        <f t="shared" si="188"/>
        <v>14</v>
      </c>
      <c r="R439" s="91">
        <f t="shared" si="185"/>
        <v>15</v>
      </c>
      <c r="S439" s="91">
        <f t="shared" si="185"/>
        <v>16</v>
      </c>
      <c r="T439" s="91">
        <f t="shared" si="185"/>
        <v>17</v>
      </c>
      <c r="U439" s="92">
        <f t="shared" si="185"/>
        <v>18</v>
      </c>
      <c r="W439" s="98">
        <v>7</v>
      </c>
      <c r="X439" s="103" t="s">
        <v>425</v>
      </c>
      <c r="Y439" s="105">
        <v>4</v>
      </c>
      <c r="Z439" s="96"/>
      <c r="AA439" s="101">
        <f>AG438+1</f>
        <v>12</v>
      </c>
      <c r="AB439" s="91">
        <f t="shared" si="189"/>
        <v>13</v>
      </c>
      <c r="AC439" s="91">
        <f t="shared" si="189"/>
        <v>14</v>
      </c>
      <c r="AD439" s="91">
        <f t="shared" si="189"/>
        <v>15</v>
      </c>
      <c r="AE439" s="91">
        <f t="shared" si="186"/>
        <v>16</v>
      </c>
      <c r="AF439" s="91">
        <f t="shared" si="186"/>
        <v>17</v>
      </c>
      <c r="AG439" s="92">
        <f t="shared" si="186"/>
        <v>18</v>
      </c>
      <c r="AI439" s="100">
        <v>11</v>
      </c>
      <c r="AJ439" s="103" t="s">
        <v>425</v>
      </c>
      <c r="AK439" s="106">
        <v>4</v>
      </c>
    </row>
    <row r="440" spans="1:37" x14ac:dyDescent="0.2">
      <c r="A440" s="14">
        <v>440</v>
      </c>
      <c r="C440" s="101">
        <f>I439+1</f>
        <v>22</v>
      </c>
      <c r="D440" s="91">
        <f t="shared" si="187"/>
        <v>23</v>
      </c>
      <c r="E440" s="91">
        <f t="shared" si="187"/>
        <v>24</v>
      </c>
      <c r="F440" s="91">
        <f t="shared" si="187"/>
        <v>25</v>
      </c>
      <c r="G440" s="91">
        <f t="shared" si="187"/>
        <v>26</v>
      </c>
      <c r="H440" s="91">
        <f t="shared" si="187"/>
        <v>27</v>
      </c>
      <c r="I440" s="92">
        <f t="shared" si="187"/>
        <v>28</v>
      </c>
      <c r="K440" s="93">
        <v>4</v>
      </c>
      <c r="L440" s="103" t="s">
        <v>878</v>
      </c>
      <c r="M440" s="104">
        <v>31</v>
      </c>
      <c r="N440" s="96"/>
      <c r="O440" s="101">
        <f>U439+1</f>
        <v>19</v>
      </c>
      <c r="P440" s="91">
        <f t="shared" si="188"/>
        <v>20</v>
      </c>
      <c r="Q440" s="91">
        <f t="shared" si="188"/>
        <v>21</v>
      </c>
      <c r="R440" s="91">
        <f t="shared" si="185"/>
        <v>22</v>
      </c>
      <c r="S440" s="91">
        <f t="shared" si="185"/>
        <v>23</v>
      </c>
      <c r="T440" s="91">
        <f t="shared" si="185"/>
        <v>24</v>
      </c>
      <c r="U440" s="92">
        <f t="shared" si="185"/>
        <v>25</v>
      </c>
      <c r="W440" s="98">
        <v>8</v>
      </c>
      <c r="X440" s="103" t="s">
        <v>878</v>
      </c>
      <c r="Y440" s="105">
        <v>28</v>
      </c>
      <c r="Z440" s="96"/>
      <c r="AA440" s="101">
        <f>AG439+1</f>
        <v>19</v>
      </c>
      <c r="AB440" s="91">
        <f t="shared" si="189"/>
        <v>20</v>
      </c>
      <c r="AC440" s="91">
        <f t="shared" si="189"/>
        <v>21</v>
      </c>
      <c r="AD440" s="91">
        <f t="shared" si="189"/>
        <v>22</v>
      </c>
      <c r="AE440" s="124">
        <f t="shared" si="186"/>
        <v>23</v>
      </c>
      <c r="AF440" s="131">
        <f t="shared" si="186"/>
        <v>24</v>
      </c>
      <c r="AG440" s="92">
        <f t="shared" si="186"/>
        <v>25</v>
      </c>
      <c r="AI440" s="100">
        <v>12</v>
      </c>
      <c r="AJ440" s="103" t="s">
        <v>878</v>
      </c>
      <c r="AK440" s="106">
        <v>31</v>
      </c>
    </row>
    <row r="441" spans="1:37" x14ac:dyDescent="0.2">
      <c r="A441" s="14">
        <v>441</v>
      </c>
      <c r="C441" s="101">
        <f>I440+1</f>
        <v>29</v>
      </c>
      <c r="D441" s="91">
        <f>C441+1</f>
        <v>30</v>
      </c>
      <c r="E441" s="91">
        <f>D441+1</f>
        <v>31</v>
      </c>
      <c r="F441" s="91"/>
      <c r="G441" s="91"/>
      <c r="H441" s="91"/>
      <c r="I441" s="92"/>
      <c r="K441" s="93">
        <v>5</v>
      </c>
      <c r="L441" s="107"/>
      <c r="M441" s="108"/>
      <c r="N441" s="96"/>
      <c r="O441" s="101">
        <f>U440+1</f>
        <v>26</v>
      </c>
      <c r="P441" s="91">
        <f t="shared" si="188"/>
        <v>27</v>
      </c>
      <c r="Q441" s="91">
        <f t="shared" si="188"/>
        <v>28</v>
      </c>
      <c r="R441" s="91"/>
      <c r="S441" s="91"/>
      <c r="T441" s="91"/>
      <c r="U441" s="92"/>
      <c r="W441" s="98">
        <v>9</v>
      </c>
      <c r="X441" s="107"/>
      <c r="Y441" s="109"/>
      <c r="Z441" s="96"/>
      <c r="AA441" s="101">
        <f>AG440+1</f>
        <v>26</v>
      </c>
      <c r="AB441" s="91">
        <f t="shared" si="189"/>
        <v>27</v>
      </c>
      <c r="AC441" s="91">
        <f t="shared" si="189"/>
        <v>28</v>
      </c>
      <c r="AD441" s="91">
        <f t="shared" si="189"/>
        <v>29</v>
      </c>
      <c r="AE441" s="91">
        <f>AD441+1</f>
        <v>30</v>
      </c>
      <c r="AF441" s="91">
        <f>AE441+1</f>
        <v>31</v>
      </c>
      <c r="AG441" s="92"/>
      <c r="AI441" s="100">
        <v>13</v>
      </c>
      <c r="AJ441" s="111"/>
      <c r="AK441" s="112"/>
    </row>
    <row r="442" spans="1:37" x14ac:dyDescent="0.2">
      <c r="A442" s="14">
        <v>442</v>
      </c>
      <c r="C442" s="101"/>
      <c r="D442" s="91"/>
      <c r="E442" s="91"/>
      <c r="F442" s="113"/>
      <c r="G442" s="113"/>
      <c r="H442" s="113"/>
      <c r="I442" s="114"/>
      <c r="K442" s="93"/>
      <c r="L442" s="107"/>
      <c r="M442" s="115"/>
      <c r="N442" s="96"/>
      <c r="O442" s="101"/>
      <c r="P442" s="91"/>
      <c r="Q442" s="113"/>
      <c r="R442" s="113"/>
      <c r="S442" s="113"/>
      <c r="T442" s="113"/>
      <c r="U442" s="114"/>
      <c r="W442" s="98"/>
      <c r="X442" s="107"/>
      <c r="Y442" s="96"/>
      <c r="Z442" s="96"/>
      <c r="AA442" s="101"/>
      <c r="AB442" s="91"/>
      <c r="AC442" s="113"/>
      <c r="AD442" s="113"/>
      <c r="AE442" s="113"/>
      <c r="AF442" s="113"/>
      <c r="AG442" s="114"/>
      <c r="AI442" s="100"/>
      <c r="AJ442" s="111"/>
      <c r="AK442" s="4"/>
    </row>
    <row r="443" spans="1:37" x14ac:dyDescent="0.2">
      <c r="A443" s="14">
        <v>443</v>
      </c>
      <c r="C443" s="88"/>
      <c r="D443" s="88"/>
      <c r="E443" s="88"/>
      <c r="F443" s="88"/>
      <c r="G443" s="88"/>
      <c r="H443" s="88"/>
      <c r="I443" s="88"/>
      <c r="K443" s="117"/>
      <c r="L443" s="111"/>
      <c r="M443" s="118"/>
      <c r="N443" s="4"/>
      <c r="O443" s="4"/>
      <c r="P443" s="4"/>
      <c r="Q443" s="4"/>
      <c r="R443" s="4"/>
      <c r="S443" s="4"/>
      <c r="T443" s="4"/>
      <c r="U443" s="4"/>
      <c r="W443" s="119"/>
      <c r="X443" s="111"/>
      <c r="Y443" s="4"/>
      <c r="Z443" s="4"/>
      <c r="AA443" s="4"/>
      <c r="AB443" s="4"/>
      <c r="AC443" s="4"/>
      <c r="AD443" s="4"/>
      <c r="AE443" s="4"/>
      <c r="AF443" s="4"/>
      <c r="AG443" s="4"/>
      <c r="AI443" s="120"/>
      <c r="AJ443" s="111"/>
      <c r="AK443" s="4"/>
    </row>
    <row r="444" spans="1:37" x14ac:dyDescent="0.2">
      <c r="A444" s="14">
        <v>444</v>
      </c>
      <c r="C444" s="404" t="s">
        <v>1017</v>
      </c>
      <c r="D444" s="88"/>
      <c r="E444" s="88"/>
      <c r="F444" s="88"/>
      <c r="G444" s="88"/>
      <c r="H444" s="88"/>
      <c r="I444" s="88"/>
      <c r="K444" s="117"/>
      <c r="L444" s="111"/>
      <c r="M444" s="121"/>
      <c r="N444" s="4"/>
      <c r="O444" s="404" t="s">
        <v>1018</v>
      </c>
      <c r="P444" s="88"/>
      <c r="Q444" s="88"/>
      <c r="R444" s="88"/>
      <c r="S444" s="88"/>
      <c r="T444" s="88"/>
      <c r="U444" s="88"/>
      <c r="W444" s="119"/>
      <c r="X444" s="111"/>
      <c r="Y444" s="4"/>
      <c r="Z444" s="4"/>
      <c r="AA444" s="404" t="s">
        <v>1019</v>
      </c>
      <c r="AB444" s="88"/>
      <c r="AC444" s="88"/>
      <c r="AD444" s="88"/>
      <c r="AE444" s="88"/>
      <c r="AF444" s="88"/>
      <c r="AG444" s="88"/>
      <c r="AI444" s="120"/>
      <c r="AJ444" s="111"/>
      <c r="AK444" s="4"/>
    </row>
    <row r="445" spans="1:37" x14ac:dyDescent="0.2">
      <c r="A445" s="14">
        <v>445</v>
      </c>
      <c r="C445" s="55" t="s">
        <v>3</v>
      </c>
      <c r="D445" s="55" t="s">
        <v>177</v>
      </c>
      <c r="E445" s="55" t="s">
        <v>178</v>
      </c>
      <c r="F445" s="55" t="s">
        <v>178</v>
      </c>
      <c r="G445" s="55" t="s">
        <v>9</v>
      </c>
      <c r="H445" s="55" t="s">
        <v>857</v>
      </c>
      <c r="I445" s="55" t="s">
        <v>854</v>
      </c>
      <c r="K445" s="56" t="s">
        <v>877</v>
      </c>
      <c r="L445" s="111"/>
      <c r="M445" s="121"/>
      <c r="N445" s="4"/>
      <c r="O445" s="55" t="s">
        <v>3</v>
      </c>
      <c r="P445" s="55" t="s">
        <v>177</v>
      </c>
      <c r="Q445" s="55" t="s">
        <v>178</v>
      </c>
      <c r="R445" s="55" t="s">
        <v>178</v>
      </c>
      <c r="S445" s="55" t="s">
        <v>9</v>
      </c>
      <c r="T445" s="55" t="s">
        <v>857</v>
      </c>
      <c r="U445" s="55" t="s">
        <v>854</v>
      </c>
      <c r="W445" s="56" t="s">
        <v>877</v>
      </c>
      <c r="X445" s="111"/>
      <c r="Y445" s="4"/>
      <c r="Z445" s="4"/>
      <c r="AA445" s="55" t="s">
        <v>3</v>
      </c>
      <c r="AB445" s="55" t="s">
        <v>177</v>
      </c>
      <c r="AC445" s="55" t="s">
        <v>178</v>
      </c>
      <c r="AD445" s="55" t="s">
        <v>178</v>
      </c>
      <c r="AE445" s="55" t="s">
        <v>9</v>
      </c>
      <c r="AF445" s="55" t="s">
        <v>857</v>
      </c>
      <c r="AG445" s="55" t="s">
        <v>854</v>
      </c>
      <c r="AI445" s="56" t="s">
        <v>877</v>
      </c>
      <c r="AJ445" s="111"/>
      <c r="AK445" s="4"/>
    </row>
    <row r="446" spans="1:37" x14ac:dyDescent="0.2">
      <c r="A446" s="14">
        <v>446</v>
      </c>
      <c r="C446" s="58"/>
      <c r="D446" s="91" t="s">
        <v>185</v>
      </c>
      <c r="E446" s="91" t="s">
        <v>185</v>
      </c>
      <c r="F446" s="91" t="s">
        <v>185</v>
      </c>
      <c r="G446" s="91" t="s">
        <v>185</v>
      </c>
      <c r="H446" s="91" t="s">
        <v>185</v>
      </c>
      <c r="I446" s="92">
        <v>1</v>
      </c>
      <c r="K446" s="122">
        <v>13</v>
      </c>
      <c r="L446" s="94"/>
      <c r="M446" s="123"/>
      <c r="N446" s="4"/>
      <c r="O446" s="58"/>
      <c r="P446" s="125">
        <f t="shared" ref="P446:U449" si="190">O446+1</f>
        <v>1</v>
      </c>
      <c r="Q446" s="125">
        <f t="shared" si="190"/>
        <v>2</v>
      </c>
      <c r="R446" s="125">
        <f t="shared" si="190"/>
        <v>3</v>
      </c>
      <c r="S446" s="125">
        <f t="shared" si="190"/>
        <v>4</v>
      </c>
      <c r="T446" s="125">
        <f t="shared" si="190"/>
        <v>5</v>
      </c>
      <c r="U446" s="407">
        <f t="shared" si="190"/>
        <v>6</v>
      </c>
      <c r="W446" s="100">
        <v>18</v>
      </c>
      <c r="X446" s="94"/>
      <c r="Y446" s="49"/>
      <c r="Z446" s="4"/>
      <c r="AA446" s="101"/>
      <c r="AB446" s="125"/>
      <c r="AC446" s="125"/>
      <c r="AD446" s="125"/>
      <c r="AE446" s="125">
        <f t="shared" ref="AE446:AF450" si="191">AD446+1</f>
        <v>1</v>
      </c>
      <c r="AF446" s="125">
        <f t="shared" si="191"/>
        <v>2</v>
      </c>
      <c r="AG446" s="92">
        <f>AF446+1</f>
        <v>3</v>
      </c>
      <c r="AI446" s="100">
        <v>22</v>
      </c>
      <c r="AJ446" s="94"/>
      <c r="AK446" s="123"/>
    </row>
    <row r="447" spans="1:37" x14ac:dyDescent="0.2">
      <c r="A447" s="14">
        <v>447</v>
      </c>
      <c r="C447" s="101">
        <f>I446+1</f>
        <v>2</v>
      </c>
      <c r="D447" s="91">
        <f t="shared" ref="D447:I450" si="192">C447+1</f>
        <v>3</v>
      </c>
      <c r="E447" s="91">
        <f t="shared" si="192"/>
        <v>4</v>
      </c>
      <c r="F447" s="91">
        <f t="shared" si="192"/>
        <v>5</v>
      </c>
      <c r="G447" s="124">
        <f t="shared" si="192"/>
        <v>6</v>
      </c>
      <c r="H447" s="124">
        <f t="shared" si="192"/>
        <v>7</v>
      </c>
      <c r="I447" s="92">
        <f t="shared" si="192"/>
        <v>8</v>
      </c>
      <c r="K447" s="122">
        <v>14</v>
      </c>
      <c r="L447" s="103" t="s">
        <v>418</v>
      </c>
      <c r="M447" s="126">
        <v>5</v>
      </c>
      <c r="N447" s="4"/>
      <c r="O447" s="101">
        <f>U446+1</f>
        <v>7</v>
      </c>
      <c r="P447" s="125">
        <f t="shared" si="190"/>
        <v>8</v>
      </c>
      <c r="Q447" s="125">
        <f t="shared" si="190"/>
        <v>9</v>
      </c>
      <c r="R447" s="125">
        <f t="shared" si="190"/>
        <v>10</v>
      </c>
      <c r="S447" s="125">
        <f t="shared" si="190"/>
        <v>11</v>
      </c>
      <c r="T447" s="125">
        <f t="shared" si="190"/>
        <v>12</v>
      </c>
      <c r="U447" s="92">
        <f t="shared" si="190"/>
        <v>13</v>
      </c>
      <c r="W447" s="100">
        <v>19</v>
      </c>
      <c r="X447" s="103" t="s">
        <v>418</v>
      </c>
      <c r="Y447" s="106">
        <v>4</v>
      </c>
      <c r="Z447" s="4"/>
      <c r="AA447" s="101">
        <f>AG446+1</f>
        <v>4</v>
      </c>
      <c r="AB447" s="125">
        <f t="shared" ref="AB447:AD450" si="193">AA447+1</f>
        <v>5</v>
      </c>
      <c r="AC447" s="125">
        <f t="shared" si="193"/>
        <v>6</v>
      </c>
      <c r="AD447" s="125">
        <f t="shared" si="193"/>
        <v>7</v>
      </c>
      <c r="AE447" s="125">
        <f t="shared" si="191"/>
        <v>8</v>
      </c>
      <c r="AF447" s="125">
        <f>AE447+1</f>
        <v>9</v>
      </c>
      <c r="AG447" s="92">
        <f>AF447+1</f>
        <v>10</v>
      </c>
      <c r="AI447" s="100">
        <v>23</v>
      </c>
      <c r="AJ447" s="103" t="s">
        <v>418</v>
      </c>
      <c r="AK447" s="106">
        <v>4</v>
      </c>
    </row>
    <row r="448" spans="1:37" x14ac:dyDescent="0.2">
      <c r="A448" s="14">
        <v>448</v>
      </c>
      <c r="C448" s="101">
        <f>I447+1</f>
        <v>9</v>
      </c>
      <c r="D448" s="91">
        <f t="shared" si="192"/>
        <v>10</v>
      </c>
      <c r="E448" s="91">
        <f t="shared" si="192"/>
        <v>11</v>
      </c>
      <c r="F448" s="91">
        <f t="shared" si="192"/>
        <v>12</v>
      </c>
      <c r="G448" s="91">
        <f t="shared" si="192"/>
        <v>13</v>
      </c>
      <c r="H448" s="91">
        <f t="shared" si="192"/>
        <v>14</v>
      </c>
      <c r="I448" s="92">
        <f t="shared" si="192"/>
        <v>15</v>
      </c>
      <c r="K448" s="122">
        <v>15</v>
      </c>
      <c r="L448" s="103" t="s">
        <v>425</v>
      </c>
      <c r="M448" s="126">
        <v>5</v>
      </c>
      <c r="N448" s="4"/>
      <c r="O448" s="101">
        <f>U447+1</f>
        <v>14</v>
      </c>
      <c r="P448" s="125">
        <f t="shared" si="190"/>
        <v>15</v>
      </c>
      <c r="Q448" s="125">
        <f t="shared" si="190"/>
        <v>16</v>
      </c>
      <c r="R448" s="125">
        <f t="shared" si="190"/>
        <v>17</v>
      </c>
      <c r="S448" s="125">
        <f t="shared" si="190"/>
        <v>18</v>
      </c>
      <c r="T448" s="125">
        <f t="shared" si="190"/>
        <v>19</v>
      </c>
      <c r="U448" s="92">
        <f t="shared" si="190"/>
        <v>20</v>
      </c>
      <c r="W448" s="100">
        <v>20</v>
      </c>
      <c r="X448" s="103" t="s">
        <v>425</v>
      </c>
      <c r="Y448" s="106">
        <v>4</v>
      </c>
      <c r="Z448" s="4"/>
      <c r="AA448" s="101">
        <f>AG447+1</f>
        <v>11</v>
      </c>
      <c r="AB448" s="125">
        <f t="shared" si="193"/>
        <v>12</v>
      </c>
      <c r="AC448" s="125">
        <f t="shared" si="193"/>
        <v>13</v>
      </c>
      <c r="AD448" s="125">
        <f t="shared" si="193"/>
        <v>14</v>
      </c>
      <c r="AE448" s="125">
        <f t="shared" si="191"/>
        <v>15</v>
      </c>
      <c r="AF448" s="125">
        <f>AE448+1</f>
        <v>16</v>
      </c>
      <c r="AG448" s="92">
        <f>AF448+1</f>
        <v>17</v>
      </c>
      <c r="AI448" s="100">
        <v>24</v>
      </c>
      <c r="AJ448" s="103" t="s">
        <v>425</v>
      </c>
      <c r="AK448" s="106">
        <v>4</v>
      </c>
    </row>
    <row r="449" spans="1:37" x14ac:dyDescent="0.2">
      <c r="A449" s="14">
        <v>449</v>
      </c>
      <c r="C449" s="101">
        <f>I448+1</f>
        <v>16</v>
      </c>
      <c r="D449" s="131">
        <f t="shared" si="192"/>
        <v>17</v>
      </c>
      <c r="E449" s="97">
        <f t="shared" si="192"/>
        <v>18</v>
      </c>
      <c r="F449" s="97">
        <f t="shared" si="192"/>
        <v>19</v>
      </c>
      <c r="G449" s="91">
        <f t="shared" si="192"/>
        <v>20</v>
      </c>
      <c r="H449" s="91">
        <f t="shared" si="192"/>
        <v>21</v>
      </c>
      <c r="I449" s="92">
        <f t="shared" si="192"/>
        <v>22</v>
      </c>
      <c r="K449" s="122">
        <v>16</v>
      </c>
      <c r="L449" s="103" t="s">
        <v>878</v>
      </c>
      <c r="M449" s="126">
        <v>30</v>
      </c>
      <c r="N449" s="4"/>
      <c r="O449" s="101">
        <f>U448+1</f>
        <v>21</v>
      </c>
      <c r="P449" s="125">
        <f t="shared" si="190"/>
        <v>22</v>
      </c>
      <c r="Q449" s="125">
        <f t="shared" si="190"/>
        <v>23</v>
      </c>
      <c r="R449" s="125">
        <f t="shared" si="190"/>
        <v>24</v>
      </c>
      <c r="S449" s="125">
        <f t="shared" si="190"/>
        <v>25</v>
      </c>
      <c r="T449" s="125">
        <f t="shared" si="190"/>
        <v>26</v>
      </c>
      <c r="U449" s="92">
        <f t="shared" si="190"/>
        <v>27</v>
      </c>
      <c r="W449" s="100">
        <v>21</v>
      </c>
      <c r="X449" s="103" t="s">
        <v>878</v>
      </c>
      <c r="Y449" s="106">
        <v>31</v>
      </c>
      <c r="Z449" s="4"/>
      <c r="AA449" s="101">
        <f>AG448+1</f>
        <v>18</v>
      </c>
      <c r="AB449" s="125">
        <f t="shared" si="193"/>
        <v>19</v>
      </c>
      <c r="AC449" s="97">
        <f t="shared" si="193"/>
        <v>20</v>
      </c>
      <c r="AD449" s="130">
        <f t="shared" si="193"/>
        <v>21</v>
      </c>
      <c r="AE449" s="130">
        <f t="shared" si="191"/>
        <v>22</v>
      </c>
      <c r="AF449" s="97">
        <f>AE449+1</f>
        <v>23</v>
      </c>
      <c r="AG449" s="92">
        <f>AF449+1</f>
        <v>24</v>
      </c>
      <c r="AI449" s="100">
        <v>25</v>
      </c>
      <c r="AJ449" s="103" t="s">
        <v>878</v>
      </c>
      <c r="AK449" s="106">
        <v>30</v>
      </c>
    </row>
    <row r="450" spans="1:37" x14ac:dyDescent="0.2">
      <c r="A450" s="14">
        <v>450</v>
      </c>
      <c r="C450" s="101">
        <f>I449+1</f>
        <v>23</v>
      </c>
      <c r="D450" s="91">
        <f t="shared" si="192"/>
        <v>24</v>
      </c>
      <c r="E450" s="91">
        <f t="shared" si="192"/>
        <v>25</v>
      </c>
      <c r="F450" s="91">
        <f t="shared" si="192"/>
        <v>26</v>
      </c>
      <c r="G450" s="91">
        <f t="shared" si="192"/>
        <v>27</v>
      </c>
      <c r="H450" s="91">
        <f t="shared" si="192"/>
        <v>28</v>
      </c>
      <c r="I450" s="92">
        <f t="shared" si="192"/>
        <v>29</v>
      </c>
      <c r="K450" s="122">
        <v>17</v>
      </c>
      <c r="L450" s="111"/>
      <c r="M450" s="127"/>
      <c r="N450" s="4"/>
      <c r="O450" s="101">
        <f>U449+1</f>
        <v>28</v>
      </c>
      <c r="P450" s="125">
        <f>O450+1</f>
        <v>29</v>
      </c>
      <c r="Q450" s="125">
        <f>P450+1</f>
        <v>30</v>
      </c>
      <c r="R450" s="125">
        <f>Q450+1</f>
        <v>31</v>
      </c>
      <c r="S450" s="125"/>
      <c r="T450" s="125"/>
      <c r="U450" s="92"/>
      <c r="W450" s="100">
        <v>22</v>
      </c>
      <c r="X450" s="111"/>
      <c r="Y450" s="128"/>
      <c r="Z450" s="4"/>
      <c r="AA450" s="101">
        <f>AG449+1</f>
        <v>25</v>
      </c>
      <c r="AB450" s="125">
        <f t="shared" si="193"/>
        <v>26</v>
      </c>
      <c r="AC450" s="130">
        <f t="shared" si="193"/>
        <v>27</v>
      </c>
      <c r="AD450" s="125">
        <f t="shared" si="193"/>
        <v>28</v>
      </c>
      <c r="AE450" s="130">
        <f t="shared" si="191"/>
        <v>29</v>
      </c>
      <c r="AF450" s="97">
        <f>AE450+1</f>
        <v>30</v>
      </c>
      <c r="AG450" s="92"/>
      <c r="AI450" s="100">
        <v>26</v>
      </c>
      <c r="AJ450" s="111"/>
      <c r="AK450" s="112"/>
    </row>
    <row r="451" spans="1:37" x14ac:dyDescent="0.2">
      <c r="A451" s="14">
        <v>451</v>
      </c>
      <c r="C451" s="101">
        <f>I450+1</f>
        <v>30</v>
      </c>
      <c r="D451" s="91"/>
      <c r="E451" s="91"/>
      <c r="F451" s="91"/>
      <c r="G451" s="91"/>
      <c r="H451" s="113"/>
      <c r="I451" s="114"/>
      <c r="K451" s="122">
        <v>18</v>
      </c>
      <c r="L451" s="111"/>
      <c r="M451" s="121"/>
      <c r="N451" s="4"/>
      <c r="O451" s="101"/>
      <c r="P451" s="125"/>
      <c r="Q451" s="401"/>
      <c r="R451" s="401"/>
      <c r="S451" s="401"/>
      <c r="T451" s="129"/>
      <c r="U451" s="114"/>
      <c r="W451" s="100"/>
      <c r="X451" s="111"/>
      <c r="Y451" s="4"/>
      <c r="Z451" s="4"/>
      <c r="AA451" s="101"/>
      <c r="AB451" s="125"/>
      <c r="AC451" s="129"/>
      <c r="AD451" s="129"/>
      <c r="AE451" s="129"/>
      <c r="AF451" s="129"/>
      <c r="AG451" s="114"/>
      <c r="AI451" s="100"/>
      <c r="AJ451" s="111"/>
      <c r="AK451" s="4"/>
    </row>
    <row r="452" spans="1:37" x14ac:dyDescent="0.2">
      <c r="A452" s="14">
        <v>452</v>
      </c>
      <c r="C452" s="88"/>
      <c r="D452" s="88"/>
      <c r="E452" s="88"/>
      <c r="F452" s="88"/>
      <c r="G452" s="88"/>
      <c r="H452" s="88"/>
      <c r="I452" s="88"/>
      <c r="K452" s="117"/>
      <c r="L452" s="111"/>
      <c r="M452" s="121"/>
      <c r="N452" s="4"/>
      <c r="O452" s="88"/>
      <c r="P452" s="88"/>
      <c r="Q452" s="88"/>
      <c r="R452" s="88"/>
      <c r="S452" s="88"/>
      <c r="T452" s="88"/>
      <c r="U452" s="88"/>
      <c r="W452" s="119"/>
      <c r="X452" s="111"/>
      <c r="Y452" s="4"/>
      <c r="Z452" s="4"/>
      <c r="AA452" s="4"/>
      <c r="AB452" s="4"/>
      <c r="AC452" s="4"/>
      <c r="AD452" s="4"/>
      <c r="AE452" s="4"/>
      <c r="AF452" s="4"/>
      <c r="AG452" s="4"/>
      <c r="AI452" s="120"/>
      <c r="AJ452" s="111"/>
      <c r="AK452" s="4"/>
    </row>
    <row r="453" spans="1:37" x14ac:dyDescent="0.2">
      <c r="A453" s="14">
        <v>453</v>
      </c>
      <c r="C453" s="404" t="s">
        <v>1020</v>
      </c>
      <c r="D453" s="88"/>
      <c r="E453" s="88"/>
      <c r="F453" s="88"/>
      <c r="G453" s="88"/>
      <c r="H453" s="88"/>
      <c r="I453" s="88"/>
      <c r="K453" s="117"/>
      <c r="L453" s="111"/>
      <c r="M453" s="121"/>
      <c r="N453" s="4"/>
      <c r="O453" s="404" t="s">
        <v>1021</v>
      </c>
      <c r="P453" s="88"/>
      <c r="Q453" s="88"/>
      <c r="R453" s="88"/>
      <c r="S453" s="88"/>
      <c r="T453" s="88"/>
      <c r="U453" s="88"/>
      <c r="W453" s="119"/>
      <c r="X453" s="111"/>
      <c r="Y453" s="4"/>
      <c r="Z453" s="4"/>
      <c r="AA453" s="404" t="s">
        <v>1022</v>
      </c>
      <c r="AB453" s="88"/>
      <c r="AC453" s="88"/>
      <c r="AD453" s="88"/>
      <c r="AE453" s="88"/>
      <c r="AF453" s="88"/>
      <c r="AG453" s="88"/>
      <c r="AI453" s="120"/>
      <c r="AJ453" s="111"/>
      <c r="AK453" s="4"/>
    </row>
    <row r="454" spans="1:37" x14ac:dyDescent="0.2">
      <c r="A454" s="14">
        <v>454</v>
      </c>
      <c r="C454" s="55" t="s">
        <v>3</v>
      </c>
      <c r="D454" s="55" t="s">
        <v>177</v>
      </c>
      <c r="E454" s="55" t="s">
        <v>178</v>
      </c>
      <c r="F454" s="55" t="s">
        <v>178</v>
      </c>
      <c r="G454" s="55" t="s">
        <v>9</v>
      </c>
      <c r="H454" s="55" t="s">
        <v>857</v>
      </c>
      <c r="I454" s="55" t="s">
        <v>854</v>
      </c>
      <c r="K454" s="56" t="s">
        <v>877</v>
      </c>
      <c r="L454" s="111"/>
      <c r="M454" s="121"/>
      <c r="N454" s="4"/>
      <c r="O454" s="55" t="s">
        <v>3</v>
      </c>
      <c r="P454" s="55" t="s">
        <v>177</v>
      </c>
      <c r="Q454" s="55" t="s">
        <v>178</v>
      </c>
      <c r="R454" s="55" t="s">
        <v>178</v>
      </c>
      <c r="S454" s="55" t="s">
        <v>9</v>
      </c>
      <c r="T454" s="55" t="s">
        <v>857</v>
      </c>
      <c r="U454" s="55" t="s">
        <v>854</v>
      </c>
      <c r="W454" s="56" t="s">
        <v>877</v>
      </c>
      <c r="X454" s="111"/>
      <c r="Y454" s="4"/>
      <c r="Z454" s="4"/>
      <c r="AA454" s="55" t="s">
        <v>3</v>
      </c>
      <c r="AB454" s="55" t="s">
        <v>177</v>
      </c>
      <c r="AC454" s="55" t="s">
        <v>178</v>
      </c>
      <c r="AD454" s="55" t="s">
        <v>178</v>
      </c>
      <c r="AE454" s="55" t="s">
        <v>9</v>
      </c>
      <c r="AF454" s="55" t="s">
        <v>857</v>
      </c>
      <c r="AG454" s="55" t="s">
        <v>854</v>
      </c>
      <c r="AI454" s="56" t="s">
        <v>877</v>
      </c>
      <c r="AJ454" s="111"/>
      <c r="AK454" s="4"/>
    </row>
    <row r="455" spans="1:37" x14ac:dyDescent="0.2">
      <c r="A455" s="14">
        <v>455</v>
      </c>
      <c r="C455" s="58"/>
      <c r="D455" s="408" t="s">
        <v>185</v>
      </c>
      <c r="E455" s="130" t="s">
        <v>185</v>
      </c>
      <c r="F455" s="97" t="s">
        <v>185</v>
      </c>
      <c r="G455" s="97" t="s">
        <v>185</v>
      </c>
      <c r="H455" s="125"/>
      <c r="I455" s="407">
        <f>H455+1</f>
        <v>1</v>
      </c>
      <c r="K455" s="122">
        <v>26</v>
      </c>
      <c r="L455" s="94"/>
      <c r="M455" s="123"/>
      <c r="N455" s="4"/>
      <c r="O455" s="101"/>
      <c r="P455" s="125"/>
      <c r="Q455" s="125">
        <f t="shared" ref="Q455:U458" si="194">P455+1</f>
        <v>1</v>
      </c>
      <c r="R455" s="125">
        <f t="shared" si="194"/>
        <v>2</v>
      </c>
      <c r="S455" s="125">
        <f t="shared" si="194"/>
        <v>3</v>
      </c>
      <c r="T455" s="125">
        <f t="shared" si="194"/>
        <v>4</v>
      </c>
      <c r="U455" s="92">
        <f t="shared" si="194"/>
        <v>5</v>
      </c>
      <c r="W455" s="100">
        <v>31</v>
      </c>
      <c r="X455" s="94"/>
      <c r="Y455" s="49"/>
      <c r="Z455" s="4"/>
      <c r="AA455" s="58"/>
      <c r="AB455" s="125"/>
      <c r="AC455" s="125"/>
      <c r="AD455" s="125"/>
      <c r="AE455" s="125"/>
      <c r="AF455" s="125">
        <f t="shared" ref="AF455:AG459" si="195">AE455+1</f>
        <v>1</v>
      </c>
      <c r="AG455" s="92">
        <f t="shared" si="195"/>
        <v>2</v>
      </c>
      <c r="AI455" s="100">
        <v>35</v>
      </c>
      <c r="AJ455" s="94"/>
      <c r="AK455" s="49"/>
    </row>
    <row r="456" spans="1:37" x14ac:dyDescent="0.2">
      <c r="A456" s="14">
        <v>456</v>
      </c>
      <c r="C456" s="101">
        <f>I455+1</f>
        <v>2</v>
      </c>
      <c r="D456" s="130">
        <f t="shared" ref="D456:H459" si="196">C456+1</f>
        <v>3</v>
      </c>
      <c r="E456" s="97">
        <f t="shared" si="196"/>
        <v>4</v>
      </c>
      <c r="F456" s="97">
        <f t="shared" si="196"/>
        <v>5</v>
      </c>
      <c r="G456" s="125">
        <f t="shared" si="196"/>
        <v>6</v>
      </c>
      <c r="H456" s="125">
        <f t="shared" si="196"/>
        <v>7</v>
      </c>
      <c r="I456" s="92">
        <f>H456+1</f>
        <v>8</v>
      </c>
      <c r="K456" s="122">
        <v>27</v>
      </c>
      <c r="L456" s="103" t="s">
        <v>418</v>
      </c>
      <c r="M456" s="126">
        <v>5</v>
      </c>
      <c r="N456" s="4"/>
      <c r="O456" s="101">
        <f>U455+1</f>
        <v>6</v>
      </c>
      <c r="P456" s="125">
        <f>O456+1</f>
        <v>7</v>
      </c>
      <c r="Q456" s="125">
        <f t="shared" si="194"/>
        <v>8</v>
      </c>
      <c r="R456" s="125">
        <f t="shared" si="194"/>
        <v>9</v>
      </c>
      <c r="S456" s="125">
        <f t="shared" si="194"/>
        <v>10</v>
      </c>
      <c r="T456" s="125">
        <f t="shared" si="194"/>
        <v>11</v>
      </c>
      <c r="U456" s="92">
        <f t="shared" si="194"/>
        <v>12</v>
      </c>
      <c r="W456" s="100">
        <v>32</v>
      </c>
      <c r="X456" s="103" t="s">
        <v>418</v>
      </c>
      <c r="Y456" s="106">
        <v>4</v>
      </c>
      <c r="Z456" s="4"/>
      <c r="AA456" s="101">
        <f>AG455+1</f>
        <v>3</v>
      </c>
      <c r="AB456" s="125">
        <f t="shared" ref="AB456:AE459" si="197">AA456+1</f>
        <v>4</v>
      </c>
      <c r="AC456" s="125">
        <f t="shared" si="197"/>
        <v>5</v>
      </c>
      <c r="AD456" s="125">
        <f t="shared" si="197"/>
        <v>6</v>
      </c>
      <c r="AE456" s="125">
        <f t="shared" si="197"/>
        <v>7</v>
      </c>
      <c r="AF456" s="125">
        <f t="shared" si="195"/>
        <v>8</v>
      </c>
      <c r="AG456" s="92">
        <f t="shared" si="195"/>
        <v>9</v>
      </c>
      <c r="AI456" s="100">
        <v>36</v>
      </c>
      <c r="AJ456" s="103" t="s">
        <v>418</v>
      </c>
      <c r="AK456" s="106">
        <v>4</v>
      </c>
    </row>
    <row r="457" spans="1:37" x14ac:dyDescent="0.2">
      <c r="A457" s="14">
        <v>457</v>
      </c>
      <c r="C457" s="101">
        <f>I456+1</f>
        <v>9</v>
      </c>
      <c r="D457" s="125">
        <f t="shared" si="196"/>
        <v>10</v>
      </c>
      <c r="E457" s="125">
        <f t="shared" si="196"/>
        <v>11</v>
      </c>
      <c r="F457" s="125">
        <f t="shared" si="196"/>
        <v>12</v>
      </c>
      <c r="G457" s="125">
        <f t="shared" si="196"/>
        <v>13</v>
      </c>
      <c r="H457" s="125">
        <f t="shared" si="196"/>
        <v>14</v>
      </c>
      <c r="I457" s="92">
        <f>H457+1</f>
        <v>15</v>
      </c>
      <c r="K457" s="122">
        <v>28</v>
      </c>
      <c r="L457" s="103" t="s">
        <v>425</v>
      </c>
      <c r="M457" s="126">
        <v>5</v>
      </c>
      <c r="N457" s="4"/>
      <c r="O457" s="101">
        <f>U456+1</f>
        <v>13</v>
      </c>
      <c r="P457" s="125">
        <f>O457+1</f>
        <v>14</v>
      </c>
      <c r="Q457" s="125">
        <f t="shared" si="194"/>
        <v>15</v>
      </c>
      <c r="R457" s="125">
        <f t="shared" si="194"/>
        <v>16</v>
      </c>
      <c r="S457" s="125">
        <f t="shared" si="194"/>
        <v>17</v>
      </c>
      <c r="T457" s="125">
        <f t="shared" si="194"/>
        <v>18</v>
      </c>
      <c r="U457" s="92">
        <f t="shared" si="194"/>
        <v>19</v>
      </c>
      <c r="W457" s="100">
        <v>33</v>
      </c>
      <c r="X457" s="103" t="s">
        <v>425</v>
      </c>
      <c r="Y457" s="106">
        <v>4</v>
      </c>
      <c r="Z457" s="4"/>
      <c r="AA457" s="101">
        <f>AG456+1</f>
        <v>10</v>
      </c>
      <c r="AB457" s="125">
        <f t="shared" si="197"/>
        <v>11</v>
      </c>
      <c r="AC457" s="125">
        <f t="shared" si="197"/>
        <v>12</v>
      </c>
      <c r="AD457" s="125">
        <f t="shared" si="197"/>
        <v>13</v>
      </c>
      <c r="AE457" s="125">
        <f t="shared" si="197"/>
        <v>14</v>
      </c>
      <c r="AF457" s="125">
        <f t="shared" si="195"/>
        <v>15</v>
      </c>
      <c r="AG457" s="92">
        <f t="shared" si="195"/>
        <v>16</v>
      </c>
      <c r="AI457" s="100">
        <v>37</v>
      </c>
      <c r="AJ457" s="103" t="s">
        <v>425</v>
      </c>
      <c r="AK457" s="106">
        <v>5</v>
      </c>
    </row>
    <row r="458" spans="1:37" x14ac:dyDescent="0.2">
      <c r="A458" s="14">
        <v>458</v>
      </c>
      <c r="C458" s="101">
        <f>I457+1</f>
        <v>16</v>
      </c>
      <c r="D458" s="125">
        <f t="shared" si="196"/>
        <v>17</v>
      </c>
      <c r="E458" s="125">
        <f t="shared" si="196"/>
        <v>18</v>
      </c>
      <c r="F458" s="125">
        <f t="shared" si="196"/>
        <v>19</v>
      </c>
      <c r="G458" s="134">
        <f t="shared" si="196"/>
        <v>20</v>
      </c>
      <c r="H458" s="124">
        <f t="shared" si="196"/>
        <v>21</v>
      </c>
      <c r="I458" s="92">
        <f>H458+1</f>
        <v>22</v>
      </c>
      <c r="K458" s="122">
        <v>29</v>
      </c>
      <c r="L458" s="103" t="s">
        <v>878</v>
      </c>
      <c r="M458" s="126">
        <v>31</v>
      </c>
      <c r="N458" s="4"/>
      <c r="O458" s="101">
        <f>U457+1</f>
        <v>20</v>
      </c>
      <c r="P458" s="125">
        <f>O458+1</f>
        <v>21</v>
      </c>
      <c r="Q458" s="125">
        <f t="shared" si="194"/>
        <v>22</v>
      </c>
      <c r="R458" s="125">
        <f t="shared" si="194"/>
        <v>23</v>
      </c>
      <c r="S458" s="125">
        <f t="shared" si="194"/>
        <v>24</v>
      </c>
      <c r="T458" s="125">
        <f t="shared" si="194"/>
        <v>25</v>
      </c>
      <c r="U458" s="92">
        <f t="shared" si="194"/>
        <v>26</v>
      </c>
      <c r="W458" s="100">
        <v>34</v>
      </c>
      <c r="X458" s="103" t="s">
        <v>878</v>
      </c>
      <c r="Y458" s="106">
        <v>31</v>
      </c>
      <c r="Z458" s="4"/>
      <c r="AA458" s="101">
        <f>AG457+1</f>
        <v>17</v>
      </c>
      <c r="AB458" s="125">
        <f t="shared" si="197"/>
        <v>18</v>
      </c>
      <c r="AC458" s="125">
        <f t="shared" si="197"/>
        <v>19</v>
      </c>
      <c r="AD458" s="125">
        <f t="shared" si="197"/>
        <v>20</v>
      </c>
      <c r="AE458" s="125">
        <f t="shared" si="197"/>
        <v>21</v>
      </c>
      <c r="AF458" s="125">
        <f t="shared" si="195"/>
        <v>22</v>
      </c>
      <c r="AG458" s="92">
        <f t="shared" si="195"/>
        <v>23</v>
      </c>
      <c r="AI458" s="100">
        <v>38</v>
      </c>
      <c r="AJ458" s="103" t="s">
        <v>878</v>
      </c>
      <c r="AK458" s="106">
        <v>30</v>
      </c>
    </row>
    <row r="459" spans="1:37" x14ac:dyDescent="0.2">
      <c r="A459" s="14">
        <v>459</v>
      </c>
      <c r="C459" s="101">
        <f>I458+1</f>
        <v>23</v>
      </c>
      <c r="D459" s="134">
        <f t="shared" si="196"/>
        <v>24</v>
      </c>
      <c r="E459" s="125">
        <f t="shared" si="196"/>
        <v>25</v>
      </c>
      <c r="F459" s="125">
        <f t="shared" si="196"/>
        <v>26</v>
      </c>
      <c r="G459" s="134">
        <f t="shared" si="196"/>
        <v>27</v>
      </c>
      <c r="H459" s="124">
        <f t="shared" si="196"/>
        <v>28</v>
      </c>
      <c r="I459" s="92">
        <f>H459+1</f>
        <v>29</v>
      </c>
      <c r="K459" s="122">
        <v>30</v>
      </c>
      <c r="L459" s="111"/>
      <c r="M459" s="127"/>
      <c r="N459" s="4"/>
      <c r="O459" s="101">
        <f>U458+1</f>
        <v>27</v>
      </c>
      <c r="P459" s="125">
        <f>O459+1</f>
        <v>28</v>
      </c>
      <c r="Q459" s="125">
        <f>P459+1</f>
        <v>29</v>
      </c>
      <c r="R459" s="125">
        <f>Q459+1</f>
        <v>30</v>
      </c>
      <c r="S459" s="125">
        <f>R459+1</f>
        <v>31</v>
      </c>
      <c r="T459" s="125"/>
      <c r="U459" s="92"/>
      <c r="W459" s="100">
        <v>35</v>
      </c>
      <c r="X459" s="111"/>
      <c r="Y459" s="112"/>
      <c r="Z459" s="4"/>
      <c r="AA459" s="101">
        <f>AG458+1</f>
        <v>24</v>
      </c>
      <c r="AB459" s="125">
        <f t="shared" si="197"/>
        <v>25</v>
      </c>
      <c r="AC459" s="125">
        <f t="shared" si="197"/>
        <v>26</v>
      </c>
      <c r="AD459" s="125">
        <f t="shared" si="197"/>
        <v>27</v>
      </c>
      <c r="AE459" s="125">
        <f t="shared" si="197"/>
        <v>28</v>
      </c>
      <c r="AF459" s="125">
        <f t="shared" si="195"/>
        <v>29</v>
      </c>
      <c r="AG459" s="92">
        <f t="shared" si="195"/>
        <v>30</v>
      </c>
      <c r="AI459" s="100">
        <v>39</v>
      </c>
      <c r="AJ459" s="111"/>
      <c r="AK459" s="112"/>
    </row>
    <row r="460" spans="1:37" x14ac:dyDescent="0.2">
      <c r="A460" s="14">
        <v>460</v>
      </c>
      <c r="C460" s="101">
        <f>I459+1</f>
        <v>30</v>
      </c>
      <c r="D460" s="134">
        <f>C460+1</f>
        <v>31</v>
      </c>
      <c r="E460" s="401"/>
      <c r="F460" s="129"/>
      <c r="G460" s="129"/>
      <c r="H460" s="129"/>
      <c r="I460" s="114"/>
      <c r="K460" s="122">
        <v>31</v>
      </c>
      <c r="L460" s="111"/>
      <c r="M460" s="121"/>
      <c r="N460" s="4"/>
      <c r="O460" s="101"/>
      <c r="P460" s="125"/>
      <c r="Q460" s="125"/>
      <c r="R460" s="125"/>
      <c r="S460" s="125"/>
      <c r="T460" s="125"/>
      <c r="U460" s="92"/>
      <c r="W460" s="100"/>
      <c r="X460" s="111"/>
      <c r="Y460" s="4"/>
      <c r="Z460" s="4"/>
      <c r="AA460" s="101"/>
      <c r="AB460" s="125"/>
      <c r="AC460" s="129"/>
      <c r="AD460" s="129"/>
      <c r="AE460" s="129"/>
      <c r="AF460" s="129"/>
      <c r="AG460" s="114"/>
      <c r="AI460" s="413"/>
      <c r="AJ460" s="111"/>
      <c r="AK460" s="4"/>
    </row>
    <row r="461" spans="1:37" x14ac:dyDescent="0.2">
      <c r="A461" s="14">
        <v>461</v>
      </c>
      <c r="C461" s="88"/>
      <c r="D461" s="88"/>
      <c r="E461" s="88"/>
      <c r="F461" s="88"/>
      <c r="G461" s="88"/>
      <c r="H461" s="88"/>
      <c r="I461" s="88"/>
      <c r="K461" s="117"/>
      <c r="L461" s="111"/>
      <c r="M461" s="121"/>
      <c r="N461" s="4"/>
      <c r="O461" s="88"/>
      <c r="P461" s="88"/>
      <c r="Q461" s="88"/>
      <c r="R461" s="88"/>
      <c r="S461" s="88"/>
      <c r="T461" s="88"/>
      <c r="U461" s="88"/>
      <c r="W461" s="119"/>
      <c r="X461" s="111"/>
      <c r="Y461" s="4"/>
      <c r="Z461" s="4"/>
      <c r="AA461" s="4"/>
      <c r="AB461" s="4"/>
      <c r="AC461" s="4"/>
      <c r="AD461" s="4"/>
      <c r="AE461" s="4"/>
      <c r="AF461" s="4"/>
      <c r="AG461" s="4"/>
      <c r="AI461" s="120"/>
      <c r="AJ461" s="111"/>
      <c r="AK461" s="4"/>
    </row>
    <row r="462" spans="1:37" x14ac:dyDescent="0.2">
      <c r="A462" s="14">
        <v>462</v>
      </c>
      <c r="C462" s="404" t="s">
        <v>1023</v>
      </c>
      <c r="D462" s="88"/>
      <c r="E462" s="88"/>
      <c r="F462" s="88"/>
      <c r="G462" s="88"/>
      <c r="H462" s="88"/>
      <c r="I462" s="88"/>
      <c r="K462" s="117"/>
      <c r="L462" s="111"/>
      <c r="M462" s="121"/>
      <c r="N462" s="4"/>
      <c r="O462" s="404" t="s">
        <v>1024</v>
      </c>
      <c r="P462" s="88"/>
      <c r="Q462" s="88"/>
      <c r="R462" s="88"/>
      <c r="S462" s="88"/>
      <c r="T462" s="88"/>
      <c r="U462" s="88"/>
      <c r="W462" s="119"/>
      <c r="X462" s="111"/>
      <c r="Y462" s="4"/>
      <c r="Z462" s="4"/>
      <c r="AA462" s="404" t="s">
        <v>1025</v>
      </c>
      <c r="AB462" s="88"/>
      <c r="AC462" s="88"/>
      <c r="AD462" s="88"/>
      <c r="AE462" s="88"/>
      <c r="AF462" s="88"/>
      <c r="AG462" s="88"/>
      <c r="AI462" s="120"/>
      <c r="AJ462" s="111"/>
      <c r="AK462" s="4"/>
    </row>
    <row r="463" spans="1:37" x14ac:dyDescent="0.2">
      <c r="A463" s="14">
        <v>463</v>
      </c>
      <c r="C463" s="55" t="s">
        <v>3</v>
      </c>
      <c r="D463" s="55" t="s">
        <v>177</v>
      </c>
      <c r="E463" s="55" t="s">
        <v>178</v>
      </c>
      <c r="F463" s="55" t="s">
        <v>178</v>
      </c>
      <c r="G463" s="55" t="s">
        <v>9</v>
      </c>
      <c r="H463" s="55" t="s">
        <v>857</v>
      </c>
      <c r="I463" s="55" t="s">
        <v>854</v>
      </c>
      <c r="K463" s="56" t="s">
        <v>877</v>
      </c>
      <c r="L463" s="111"/>
      <c r="M463" s="121"/>
      <c r="N463" s="4"/>
      <c r="O463" s="55" t="s">
        <v>3</v>
      </c>
      <c r="P463" s="55" t="s">
        <v>177</v>
      </c>
      <c r="Q463" s="55" t="s">
        <v>178</v>
      </c>
      <c r="R463" s="55" t="s">
        <v>178</v>
      </c>
      <c r="S463" s="55" t="s">
        <v>9</v>
      </c>
      <c r="T463" s="55" t="s">
        <v>857</v>
      </c>
      <c r="U463" s="55" t="s">
        <v>854</v>
      </c>
      <c r="W463" s="56" t="s">
        <v>877</v>
      </c>
      <c r="X463" s="111"/>
      <c r="Y463" s="4"/>
      <c r="Z463" s="4"/>
      <c r="AA463" s="55" t="s">
        <v>3</v>
      </c>
      <c r="AB463" s="55" t="s">
        <v>177</v>
      </c>
      <c r="AC463" s="55" t="s">
        <v>178</v>
      </c>
      <c r="AD463" s="55" t="s">
        <v>178</v>
      </c>
      <c r="AE463" s="55" t="s">
        <v>9</v>
      </c>
      <c r="AF463" s="55" t="s">
        <v>857</v>
      </c>
      <c r="AG463" s="55" t="s">
        <v>854</v>
      </c>
      <c r="AI463" s="56" t="s">
        <v>877</v>
      </c>
      <c r="AJ463" s="111"/>
      <c r="AK463" s="4"/>
    </row>
    <row r="464" spans="1:37" x14ac:dyDescent="0.2">
      <c r="A464" s="14">
        <v>464</v>
      </c>
      <c r="C464" s="101">
        <v>1</v>
      </c>
      <c r="D464" s="125">
        <f t="shared" ref="D464:H467" si="198">C464+1</f>
        <v>2</v>
      </c>
      <c r="E464" s="125">
        <f t="shared" si="198"/>
        <v>3</v>
      </c>
      <c r="F464" s="125">
        <f t="shared" si="198"/>
        <v>4</v>
      </c>
      <c r="G464" s="125">
        <f t="shared" si="198"/>
        <v>5</v>
      </c>
      <c r="H464" s="125">
        <f t="shared" si="198"/>
        <v>6</v>
      </c>
      <c r="I464" s="92">
        <f>H464+1</f>
        <v>7</v>
      </c>
      <c r="K464" s="122">
        <v>40</v>
      </c>
      <c r="L464" s="94"/>
      <c r="M464" s="123"/>
      <c r="N464" s="4"/>
      <c r="O464" s="101"/>
      <c r="P464" s="125"/>
      <c r="Q464" s="125"/>
      <c r="R464" s="125">
        <f t="shared" ref="R464:T468" si="199">Q464+1</f>
        <v>1</v>
      </c>
      <c r="S464" s="125">
        <f t="shared" si="199"/>
        <v>2</v>
      </c>
      <c r="T464" s="125">
        <f t="shared" si="199"/>
        <v>3</v>
      </c>
      <c r="U464" s="92">
        <f>T464+1</f>
        <v>4</v>
      </c>
      <c r="W464" s="100">
        <v>44</v>
      </c>
      <c r="X464" s="94"/>
      <c r="Y464" s="49"/>
      <c r="Z464" s="4"/>
      <c r="AA464" s="58"/>
      <c r="AB464" s="125"/>
      <c r="AC464" s="125"/>
      <c r="AD464" s="125"/>
      <c r="AE464" s="125"/>
      <c r="AF464" s="125">
        <f t="shared" ref="AF464:AG468" si="200">AE464+1</f>
        <v>1</v>
      </c>
      <c r="AG464" s="92">
        <f t="shared" si="200"/>
        <v>2</v>
      </c>
      <c r="AI464" s="100">
        <v>48</v>
      </c>
      <c r="AJ464" s="94"/>
      <c r="AK464" s="152"/>
    </row>
    <row r="465" spans="1:37" x14ac:dyDescent="0.2">
      <c r="A465" s="14">
        <v>465</v>
      </c>
      <c r="C465" s="101">
        <f>I464+1</f>
        <v>8</v>
      </c>
      <c r="D465" s="125">
        <f t="shared" si="198"/>
        <v>9</v>
      </c>
      <c r="E465" s="125">
        <f t="shared" si="198"/>
        <v>10</v>
      </c>
      <c r="F465" s="125">
        <f t="shared" si="198"/>
        <v>11</v>
      </c>
      <c r="G465" s="125">
        <f t="shared" ref="G465:H467" si="201">F465+1</f>
        <v>12</v>
      </c>
      <c r="H465" s="125">
        <f t="shared" si="201"/>
        <v>13</v>
      </c>
      <c r="I465" s="92">
        <f>H465+1</f>
        <v>14</v>
      </c>
      <c r="K465" s="122">
        <v>41</v>
      </c>
      <c r="L465" s="103" t="s">
        <v>418</v>
      </c>
      <c r="M465" s="126">
        <v>5</v>
      </c>
      <c r="N465" s="4"/>
      <c r="O465" s="101">
        <f>U464+1</f>
        <v>5</v>
      </c>
      <c r="P465" s="125">
        <f t="shared" ref="P465:Q468" si="202">O465+1</f>
        <v>6</v>
      </c>
      <c r="Q465" s="125">
        <f t="shared" si="202"/>
        <v>7</v>
      </c>
      <c r="R465" s="125">
        <f t="shared" si="199"/>
        <v>8</v>
      </c>
      <c r="S465" s="125">
        <f t="shared" ref="S465:T467" si="203">R465+1</f>
        <v>9</v>
      </c>
      <c r="T465" s="125">
        <f t="shared" si="203"/>
        <v>10</v>
      </c>
      <c r="U465" s="92">
        <f>T465+1</f>
        <v>11</v>
      </c>
      <c r="W465" s="100">
        <v>45</v>
      </c>
      <c r="X465" s="103" t="s">
        <v>418</v>
      </c>
      <c r="Y465" s="106">
        <v>4</v>
      </c>
      <c r="Z465" s="4"/>
      <c r="AA465" s="101">
        <f>AG464+1</f>
        <v>3</v>
      </c>
      <c r="AB465" s="125">
        <f t="shared" ref="AB465:AE468" si="204">AA465+1</f>
        <v>4</v>
      </c>
      <c r="AC465" s="125">
        <f t="shared" si="204"/>
        <v>5</v>
      </c>
      <c r="AD465" s="125">
        <f t="shared" si="204"/>
        <v>6</v>
      </c>
      <c r="AE465" s="125">
        <f t="shared" si="204"/>
        <v>7</v>
      </c>
      <c r="AF465" s="125">
        <f t="shared" si="200"/>
        <v>8</v>
      </c>
      <c r="AG465" s="92">
        <f t="shared" si="200"/>
        <v>9</v>
      </c>
      <c r="AI465" s="100">
        <v>49</v>
      </c>
      <c r="AJ465" s="103" t="s">
        <v>418</v>
      </c>
      <c r="AK465" s="106">
        <v>5</v>
      </c>
    </row>
    <row r="466" spans="1:37" x14ac:dyDescent="0.2">
      <c r="A466" s="14">
        <v>466</v>
      </c>
      <c r="C466" s="101">
        <f>I465+1</f>
        <v>15</v>
      </c>
      <c r="D466" s="124">
        <f t="shared" ref="D466:E468" si="205">C466+1</f>
        <v>16</v>
      </c>
      <c r="E466" s="131">
        <f t="shared" si="205"/>
        <v>17</v>
      </c>
      <c r="F466" s="125">
        <f t="shared" si="198"/>
        <v>18</v>
      </c>
      <c r="G466" s="125">
        <f t="shared" si="201"/>
        <v>19</v>
      </c>
      <c r="H466" s="125">
        <f t="shared" si="201"/>
        <v>20</v>
      </c>
      <c r="I466" s="92">
        <f>H466+1</f>
        <v>21</v>
      </c>
      <c r="K466" s="122">
        <v>42</v>
      </c>
      <c r="L466" s="103" t="s">
        <v>425</v>
      </c>
      <c r="M466" s="126">
        <v>4</v>
      </c>
      <c r="N466" s="4"/>
      <c r="O466" s="101">
        <f>U465+1</f>
        <v>12</v>
      </c>
      <c r="P466" s="125">
        <f t="shared" si="202"/>
        <v>13</v>
      </c>
      <c r="Q466" s="125">
        <f t="shared" si="202"/>
        <v>14</v>
      </c>
      <c r="R466" s="125">
        <f t="shared" si="199"/>
        <v>15</v>
      </c>
      <c r="S466" s="125">
        <f t="shared" si="203"/>
        <v>16</v>
      </c>
      <c r="T466" s="125">
        <f t="shared" si="203"/>
        <v>17</v>
      </c>
      <c r="U466" s="92">
        <f>T466+1</f>
        <v>18</v>
      </c>
      <c r="W466" s="100">
        <v>46</v>
      </c>
      <c r="X466" s="103" t="s">
        <v>425</v>
      </c>
      <c r="Y466" s="106">
        <v>4</v>
      </c>
      <c r="Z466" s="4"/>
      <c r="AA466" s="101">
        <f>AG465+1</f>
        <v>10</v>
      </c>
      <c r="AB466" s="125">
        <f t="shared" si="204"/>
        <v>11</v>
      </c>
      <c r="AC466" s="125">
        <f t="shared" si="204"/>
        <v>12</v>
      </c>
      <c r="AD466" s="125">
        <f t="shared" si="204"/>
        <v>13</v>
      </c>
      <c r="AE466" s="125">
        <f t="shared" si="204"/>
        <v>14</v>
      </c>
      <c r="AF466" s="125">
        <f t="shared" si="200"/>
        <v>15</v>
      </c>
      <c r="AG466" s="92">
        <f t="shared" si="200"/>
        <v>16</v>
      </c>
      <c r="AI466" s="100">
        <v>50</v>
      </c>
      <c r="AJ466" s="103" t="s">
        <v>425</v>
      </c>
      <c r="AK466" s="106">
        <v>5</v>
      </c>
    </row>
    <row r="467" spans="1:37" x14ac:dyDescent="0.2">
      <c r="A467" s="14">
        <v>467</v>
      </c>
      <c r="C467" s="101">
        <f>I466+1</f>
        <v>22</v>
      </c>
      <c r="D467" s="125">
        <f t="shared" si="205"/>
        <v>23</v>
      </c>
      <c r="E467" s="125">
        <f t="shared" si="205"/>
        <v>24</v>
      </c>
      <c r="F467" s="125">
        <f t="shared" si="198"/>
        <v>25</v>
      </c>
      <c r="G467" s="125">
        <f t="shared" si="201"/>
        <v>26</v>
      </c>
      <c r="H467" s="125">
        <f t="shared" si="201"/>
        <v>27</v>
      </c>
      <c r="I467" s="92">
        <f>H467+1</f>
        <v>28</v>
      </c>
      <c r="K467" s="122">
        <v>43</v>
      </c>
      <c r="L467" s="103" t="s">
        <v>878</v>
      </c>
      <c r="M467" s="126">
        <v>31</v>
      </c>
      <c r="N467" s="4"/>
      <c r="O467" s="101">
        <f>U466+1</f>
        <v>19</v>
      </c>
      <c r="P467" s="125">
        <f t="shared" si="202"/>
        <v>20</v>
      </c>
      <c r="Q467" s="125">
        <f t="shared" si="202"/>
        <v>21</v>
      </c>
      <c r="R467" s="125">
        <f t="shared" si="199"/>
        <v>22</v>
      </c>
      <c r="S467" s="125">
        <f t="shared" si="203"/>
        <v>23</v>
      </c>
      <c r="T467" s="125">
        <f t="shared" si="203"/>
        <v>24</v>
      </c>
      <c r="U467" s="92">
        <f>T467+1</f>
        <v>25</v>
      </c>
      <c r="W467" s="100">
        <v>47</v>
      </c>
      <c r="X467" s="103" t="s">
        <v>878</v>
      </c>
      <c r="Y467" s="106">
        <v>30</v>
      </c>
      <c r="Z467" s="4"/>
      <c r="AA467" s="101">
        <f>AG466+1</f>
        <v>17</v>
      </c>
      <c r="AB467" s="125">
        <f t="shared" si="204"/>
        <v>18</v>
      </c>
      <c r="AC467" s="125">
        <f t="shared" si="204"/>
        <v>19</v>
      </c>
      <c r="AD467" s="125">
        <f t="shared" si="204"/>
        <v>20</v>
      </c>
      <c r="AE467" s="125">
        <f t="shared" si="204"/>
        <v>21</v>
      </c>
      <c r="AF467" s="124">
        <f t="shared" si="200"/>
        <v>22</v>
      </c>
      <c r="AG467" s="92">
        <f t="shared" si="200"/>
        <v>23</v>
      </c>
      <c r="AI467" s="100">
        <v>51</v>
      </c>
      <c r="AJ467" s="103" t="s">
        <v>878</v>
      </c>
      <c r="AK467" s="106">
        <v>31</v>
      </c>
    </row>
    <row r="468" spans="1:37" x14ac:dyDescent="0.2">
      <c r="A468" s="14">
        <v>468</v>
      </c>
      <c r="C468" s="101">
        <f>I467+1</f>
        <v>29</v>
      </c>
      <c r="D468" s="125">
        <f t="shared" si="205"/>
        <v>30</v>
      </c>
      <c r="E468" s="125">
        <f t="shared" si="205"/>
        <v>31</v>
      </c>
      <c r="F468" s="125"/>
      <c r="G468" s="125"/>
      <c r="H468" s="125"/>
      <c r="I468" s="92"/>
      <c r="K468" s="122">
        <v>44</v>
      </c>
      <c r="L468" s="4"/>
      <c r="M468" s="112"/>
      <c r="N468" s="4"/>
      <c r="O468" s="101">
        <f>U467+1</f>
        <v>26</v>
      </c>
      <c r="P468" s="125">
        <f t="shared" si="202"/>
        <v>27</v>
      </c>
      <c r="Q468" s="125">
        <f t="shared" si="202"/>
        <v>28</v>
      </c>
      <c r="R468" s="125">
        <f t="shared" si="199"/>
        <v>29</v>
      </c>
      <c r="S468" s="125">
        <f t="shared" si="199"/>
        <v>30</v>
      </c>
      <c r="T468" s="125"/>
      <c r="U468" s="92"/>
      <c r="W468" s="100">
        <v>48</v>
      </c>
      <c r="X468" s="111"/>
      <c r="Y468" s="112"/>
      <c r="Z468" s="4"/>
      <c r="AA468" s="101">
        <f>AG467+1</f>
        <v>24</v>
      </c>
      <c r="AB468" s="125">
        <f t="shared" si="204"/>
        <v>25</v>
      </c>
      <c r="AC468" s="125">
        <f t="shared" si="204"/>
        <v>26</v>
      </c>
      <c r="AD468" s="125">
        <f t="shared" si="204"/>
        <v>27</v>
      </c>
      <c r="AE468" s="125">
        <f t="shared" si="204"/>
        <v>28</v>
      </c>
      <c r="AF468" s="125">
        <f t="shared" si="200"/>
        <v>29</v>
      </c>
      <c r="AG468" s="92">
        <f t="shared" si="200"/>
        <v>30</v>
      </c>
      <c r="AI468" s="100">
        <v>52</v>
      </c>
      <c r="AJ468" s="111"/>
      <c r="AK468" s="4"/>
    </row>
    <row r="469" spans="1:37" x14ac:dyDescent="0.2">
      <c r="A469" s="14">
        <v>469</v>
      </c>
      <c r="C469" s="101"/>
      <c r="D469" s="125"/>
      <c r="E469" s="125"/>
      <c r="F469" s="401"/>
      <c r="G469" s="129"/>
      <c r="H469" s="129"/>
      <c r="I469" s="114"/>
      <c r="K469" s="122"/>
      <c r="L469" s="4"/>
      <c r="M469" s="4"/>
      <c r="N469" s="4"/>
      <c r="O469" s="101"/>
      <c r="P469" s="125"/>
      <c r="Q469" s="129"/>
      <c r="R469" s="129"/>
      <c r="S469" s="129"/>
      <c r="T469" s="129"/>
      <c r="U469" s="114"/>
      <c r="V469" s="133"/>
      <c r="W469" s="100"/>
      <c r="X469" s="4"/>
      <c r="Y469" s="4"/>
      <c r="Z469" s="4"/>
      <c r="AA469" s="101">
        <f>AG468+1</f>
        <v>31</v>
      </c>
      <c r="AB469" s="125"/>
      <c r="AC469" s="129"/>
      <c r="AD469" s="129"/>
      <c r="AE469" s="129"/>
      <c r="AF469" s="129"/>
      <c r="AG469" s="114"/>
      <c r="AI469" s="116"/>
      <c r="AJ469" s="4"/>
      <c r="AK469" s="4"/>
    </row>
    <row r="470" spans="1:37" x14ac:dyDescent="0.2">
      <c r="A470" s="14">
        <v>470</v>
      </c>
      <c r="C470" s="88"/>
      <c r="D470" s="88"/>
      <c r="E470" s="88"/>
      <c r="F470" s="88"/>
      <c r="G470" s="88"/>
      <c r="H470" s="88"/>
      <c r="I470" s="8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88"/>
      <c r="AB470" s="88"/>
      <c r="AC470" s="88"/>
      <c r="AD470" s="88"/>
      <c r="AE470" s="88"/>
      <c r="AF470" s="88"/>
      <c r="AG470" s="88"/>
      <c r="AH470" s="4"/>
      <c r="AI470" s="4"/>
      <c r="AJ470" s="4"/>
      <c r="AK470" s="4"/>
    </row>
    <row r="471" spans="1:37" ht="12.75" x14ac:dyDescent="0.2">
      <c r="A471" s="14">
        <v>471</v>
      </c>
      <c r="C471" s="157"/>
      <c r="D471" s="141"/>
      <c r="E471" s="141"/>
      <c r="F471" s="141"/>
      <c r="G471" s="141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1"/>
      <c r="S471" s="140"/>
      <c r="T471" s="140"/>
      <c r="U471" s="140"/>
      <c r="V471" s="140"/>
      <c r="W471" s="140"/>
      <c r="X471" s="142" t="s">
        <v>1013</v>
      </c>
      <c r="Y471" s="141"/>
      <c r="Z471" s="4"/>
      <c r="AA471" s="88"/>
      <c r="AB471" s="88"/>
      <c r="AC471" s="88"/>
      <c r="AD471" s="88"/>
      <c r="AH471" s="153" t="s">
        <v>888</v>
      </c>
      <c r="AI471" s="144">
        <f>(M438+Y438+AK438+M447+Y447+AK447+M456+Y456+AK456+M465+Y465+AK465)</f>
        <v>53</v>
      </c>
    </row>
    <row r="472" spans="1:37" x14ac:dyDescent="0.2">
      <c r="A472" s="14">
        <v>472</v>
      </c>
      <c r="Z472" s="4"/>
      <c r="AA472" s="88"/>
      <c r="AB472" s="88"/>
      <c r="AC472" s="88"/>
      <c r="AD472" s="88"/>
      <c r="AH472" s="153" t="s">
        <v>889</v>
      </c>
      <c r="AI472" s="145">
        <f>(M439+Y439+AK439+M448+Y448+AK448+M457+Y457+AK457+M466+Y466+AK466)</f>
        <v>52</v>
      </c>
    </row>
    <row r="473" spans="1:37" x14ac:dyDescent="0.2">
      <c r="A473" s="14">
        <v>473</v>
      </c>
      <c r="C473" s="135"/>
      <c r="H473" s="4"/>
      <c r="I473" s="4"/>
      <c r="J473" s="4"/>
      <c r="K473" s="4"/>
      <c r="L473" s="4"/>
      <c r="M473" s="4"/>
      <c r="N473" s="4"/>
      <c r="O473" s="4"/>
      <c r="P473" s="4"/>
      <c r="Q473" s="4"/>
      <c r="S473" s="4"/>
      <c r="T473" s="4"/>
      <c r="U473" s="4"/>
      <c r="V473" s="4"/>
      <c r="W473" s="4"/>
      <c r="Z473" s="4"/>
      <c r="AA473" s="88"/>
      <c r="AB473" s="88"/>
      <c r="AC473" s="88"/>
      <c r="AD473" s="88"/>
      <c r="AH473" s="153" t="s">
        <v>890</v>
      </c>
      <c r="AI473" s="154">
        <f>(M440+Y440+AK440+M449+Y449+AK449+M458+Y458+AK458+M467+Y467+AK467)</f>
        <v>365</v>
      </c>
      <c r="AJ473" s="147" t="str">
        <f>IF(AI473&gt;365,"BISIESTO","NORMAL")</f>
        <v>NORMAL</v>
      </c>
    </row>
    <row r="474" spans="1:37" x14ac:dyDescent="0.2">
      <c r="A474" s="14">
        <v>474</v>
      </c>
      <c r="C474" s="135"/>
      <c r="H474" s="4"/>
      <c r="I474" s="4"/>
      <c r="J474" s="4"/>
      <c r="K474" s="4"/>
      <c r="L474" s="4"/>
      <c r="M474" s="4"/>
      <c r="N474" s="4"/>
      <c r="O474" s="4"/>
      <c r="P474" s="4"/>
      <c r="Q474" s="4"/>
      <c r="S474" s="4"/>
      <c r="T474" s="4"/>
      <c r="U474" s="4"/>
      <c r="V474" s="4"/>
      <c r="W474" s="4"/>
      <c r="Z474" s="4"/>
      <c r="AA474" s="88"/>
      <c r="AB474" s="88"/>
      <c r="AC474" s="88"/>
      <c r="AD474" s="88"/>
      <c r="AH474" s="153" t="s">
        <v>892</v>
      </c>
      <c r="AI474" s="149">
        <v>52</v>
      </c>
    </row>
    <row r="475" spans="1:37" x14ac:dyDescent="0.2">
      <c r="A475" s="14">
        <v>475</v>
      </c>
      <c r="C475" s="135"/>
      <c r="H475" s="4"/>
      <c r="I475" s="4"/>
      <c r="J475" s="4"/>
      <c r="K475" s="4"/>
      <c r="L475" s="4"/>
      <c r="M475" s="4"/>
      <c r="N475" s="4"/>
      <c r="O475" s="4"/>
      <c r="P475" s="4"/>
      <c r="Q475" s="4"/>
      <c r="S475" s="4"/>
      <c r="T475" s="4"/>
      <c r="U475" s="4"/>
      <c r="V475" s="4"/>
      <c r="W475" s="4"/>
      <c r="Z475" s="4"/>
      <c r="AA475" s="88"/>
      <c r="AB475" s="88"/>
      <c r="AC475" s="88"/>
      <c r="AD475" s="88"/>
      <c r="AG475" s="136"/>
      <c r="AH475" s="463"/>
      <c r="AI475" s="464"/>
      <c r="AJ475" s="136"/>
    </row>
    <row r="476" spans="1:37" ht="12.75" x14ac:dyDescent="0.2">
      <c r="A476" s="14">
        <v>476</v>
      </c>
      <c r="C476" s="85" t="s">
        <v>1026</v>
      </c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</row>
    <row r="477" spans="1:37" x14ac:dyDescent="0.2">
      <c r="A477" s="14">
        <v>477</v>
      </c>
    </row>
    <row r="478" spans="1:37" x14ac:dyDescent="0.2">
      <c r="A478" s="14">
        <v>478</v>
      </c>
      <c r="C478" s="404" t="s">
        <v>1027</v>
      </c>
      <c r="D478" s="88"/>
      <c r="E478" s="88"/>
      <c r="F478" s="88"/>
      <c r="G478" s="88"/>
      <c r="H478" s="88"/>
      <c r="I478" s="88"/>
      <c r="J478" s="4"/>
      <c r="K478" s="4"/>
      <c r="L478" s="89"/>
      <c r="M478" s="90"/>
      <c r="N478" s="4"/>
      <c r="O478" s="404" t="s">
        <v>1028</v>
      </c>
      <c r="P478" s="88"/>
      <c r="Q478" s="88"/>
      <c r="R478" s="88"/>
      <c r="S478" s="88"/>
      <c r="T478" s="88"/>
      <c r="U478" s="88"/>
      <c r="V478" s="4"/>
      <c r="W478" s="4"/>
      <c r="X478" s="4"/>
      <c r="Y478" s="4"/>
      <c r="Z478" s="4"/>
      <c r="AA478" s="404" t="s">
        <v>1029</v>
      </c>
      <c r="AB478" s="88"/>
      <c r="AC478" s="88"/>
      <c r="AD478" s="88"/>
      <c r="AE478" s="88"/>
      <c r="AF478" s="88"/>
      <c r="AG478" s="88"/>
      <c r="AH478" s="4"/>
      <c r="AI478" s="4"/>
      <c r="AJ478" s="4"/>
      <c r="AK478" s="4"/>
    </row>
    <row r="479" spans="1:37" x14ac:dyDescent="0.2">
      <c r="A479" s="14">
        <v>479</v>
      </c>
      <c r="C479" s="55" t="s">
        <v>3</v>
      </c>
      <c r="D479" s="55" t="s">
        <v>177</v>
      </c>
      <c r="E479" s="55" t="s">
        <v>178</v>
      </c>
      <c r="F479" s="55" t="s">
        <v>178</v>
      </c>
      <c r="G479" s="55" t="s">
        <v>9</v>
      </c>
      <c r="H479" s="55" t="s">
        <v>857</v>
      </c>
      <c r="I479" s="55" t="s">
        <v>854</v>
      </c>
      <c r="K479" s="56" t="s">
        <v>877</v>
      </c>
      <c r="L479" s="4"/>
      <c r="M479" s="4"/>
      <c r="N479" s="4"/>
      <c r="O479" s="55" t="s">
        <v>3</v>
      </c>
      <c r="P479" s="55" t="s">
        <v>177</v>
      </c>
      <c r="Q479" s="55" t="s">
        <v>178</v>
      </c>
      <c r="R479" s="55" t="s">
        <v>178</v>
      </c>
      <c r="S479" s="55" t="s">
        <v>9</v>
      </c>
      <c r="T479" s="55" t="s">
        <v>857</v>
      </c>
      <c r="U479" s="55" t="s">
        <v>854</v>
      </c>
      <c r="W479" s="56" t="s">
        <v>877</v>
      </c>
      <c r="X479" s="4"/>
      <c r="Y479" s="57"/>
      <c r="Z479" s="4"/>
      <c r="AA479" s="55" t="s">
        <v>3</v>
      </c>
      <c r="AB479" s="55" t="s">
        <v>177</v>
      </c>
      <c r="AC479" s="55" t="s">
        <v>178</v>
      </c>
      <c r="AD479" s="55" t="s">
        <v>178</v>
      </c>
      <c r="AE479" s="55" t="s">
        <v>9</v>
      </c>
      <c r="AF479" s="55" t="s">
        <v>857</v>
      </c>
      <c r="AG479" s="55" t="s">
        <v>854</v>
      </c>
      <c r="AI479" s="56" t="s">
        <v>877</v>
      </c>
      <c r="AJ479" s="4"/>
      <c r="AK479" s="4"/>
    </row>
    <row r="480" spans="1:37" x14ac:dyDescent="0.2">
      <c r="A480" s="14">
        <v>480</v>
      </c>
      <c r="C480" s="58"/>
      <c r="D480" s="156">
        <v>1</v>
      </c>
      <c r="E480" s="91">
        <f t="shared" ref="E480:G483" si="206">D480+1</f>
        <v>2</v>
      </c>
      <c r="F480" s="91">
        <f t="shared" si="206"/>
        <v>3</v>
      </c>
      <c r="G480" s="91">
        <f t="shared" si="206"/>
        <v>4</v>
      </c>
      <c r="H480" s="91">
        <f t="shared" ref="H480:I483" si="207">G480+1</f>
        <v>5</v>
      </c>
      <c r="I480" s="405">
        <f t="shared" si="207"/>
        <v>6</v>
      </c>
      <c r="K480" s="93">
        <v>1</v>
      </c>
      <c r="L480" s="94"/>
      <c r="M480" s="95"/>
      <c r="N480" s="96"/>
      <c r="O480" s="101"/>
      <c r="P480" s="91"/>
      <c r="Q480" s="91"/>
      <c r="R480" s="91"/>
      <c r="S480" s="91">
        <f t="shared" ref="S480:T483" si="208">R480+1</f>
        <v>1</v>
      </c>
      <c r="T480" s="91">
        <f t="shared" si="208"/>
        <v>2</v>
      </c>
      <c r="U480" s="92">
        <f>T480+1</f>
        <v>3</v>
      </c>
      <c r="W480" s="98">
        <v>5</v>
      </c>
      <c r="X480" s="94"/>
      <c r="Y480" s="99"/>
      <c r="Z480" s="96"/>
      <c r="AA480" s="101"/>
      <c r="AB480" s="91"/>
      <c r="AC480" s="91"/>
      <c r="AD480" s="91"/>
      <c r="AE480" s="91">
        <f t="shared" ref="AE480:AF484" si="209">AD480+1</f>
        <v>1</v>
      </c>
      <c r="AF480" s="91">
        <f t="shared" si="209"/>
        <v>2</v>
      </c>
      <c r="AG480" s="92">
        <f>AF480+1</f>
        <v>3</v>
      </c>
      <c r="AI480" s="100">
        <v>9</v>
      </c>
      <c r="AJ480" s="94"/>
      <c r="AK480" s="49"/>
    </row>
    <row r="481" spans="1:37" x14ac:dyDescent="0.2">
      <c r="A481" s="14">
        <v>481</v>
      </c>
      <c r="C481" s="101">
        <f>I480+1</f>
        <v>7</v>
      </c>
      <c r="D481" s="91">
        <f t="shared" ref="D481:F484" si="210">C481+1</f>
        <v>8</v>
      </c>
      <c r="E481" s="91">
        <f t="shared" si="210"/>
        <v>9</v>
      </c>
      <c r="F481" s="91">
        <f t="shared" si="210"/>
        <v>10</v>
      </c>
      <c r="G481" s="91">
        <f t="shared" si="206"/>
        <v>11</v>
      </c>
      <c r="H481" s="91">
        <f t="shared" si="207"/>
        <v>12</v>
      </c>
      <c r="I481" s="92">
        <f t="shared" si="207"/>
        <v>13</v>
      </c>
      <c r="K481" s="93">
        <v>2</v>
      </c>
      <c r="L481" s="103" t="s">
        <v>418</v>
      </c>
      <c r="M481" s="104">
        <v>4</v>
      </c>
      <c r="N481" s="96"/>
      <c r="O481" s="101">
        <f>U480+1</f>
        <v>4</v>
      </c>
      <c r="P481" s="91">
        <f t="shared" ref="P481:R484" si="211">O481+1</f>
        <v>5</v>
      </c>
      <c r="Q481" s="91">
        <f t="shared" si="211"/>
        <v>6</v>
      </c>
      <c r="R481" s="91">
        <f t="shared" si="211"/>
        <v>7</v>
      </c>
      <c r="S481" s="91">
        <f t="shared" si="208"/>
        <v>8</v>
      </c>
      <c r="T481" s="91">
        <f>S481+1</f>
        <v>9</v>
      </c>
      <c r="U481" s="92">
        <f>T481+1</f>
        <v>10</v>
      </c>
      <c r="W481" s="98">
        <v>6</v>
      </c>
      <c r="X481" s="103" t="s">
        <v>418</v>
      </c>
      <c r="Y481" s="105">
        <v>4</v>
      </c>
      <c r="Z481" s="96"/>
      <c r="AA481" s="101">
        <f>AG480+1</f>
        <v>4</v>
      </c>
      <c r="AB481" s="91">
        <f t="shared" ref="AB481:AD484" si="212">AA481+1</f>
        <v>5</v>
      </c>
      <c r="AC481" s="91">
        <f t="shared" si="212"/>
        <v>6</v>
      </c>
      <c r="AD481" s="91">
        <f t="shared" si="212"/>
        <v>7</v>
      </c>
      <c r="AE481" s="91">
        <f t="shared" si="209"/>
        <v>8</v>
      </c>
      <c r="AF481" s="91">
        <f>AE481+1</f>
        <v>9</v>
      </c>
      <c r="AG481" s="92">
        <f>AF481+1</f>
        <v>10</v>
      </c>
      <c r="AI481" s="100">
        <v>10</v>
      </c>
      <c r="AJ481" s="103" t="s">
        <v>418</v>
      </c>
      <c r="AK481" s="106">
        <v>4</v>
      </c>
    </row>
    <row r="482" spans="1:37" x14ac:dyDescent="0.2">
      <c r="A482" s="14">
        <v>482</v>
      </c>
      <c r="C482" s="101">
        <f>I481+1</f>
        <v>14</v>
      </c>
      <c r="D482" s="91">
        <f t="shared" si="210"/>
        <v>15</v>
      </c>
      <c r="E482" s="91">
        <f t="shared" si="210"/>
        <v>16</v>
      </c>
      <c r="F482" s="91">
        <f t="shared" si="210"/>
        <v>17</v>
      </c>
      <c r="G482" s="91">
        <f t="shared" si="206"/>
        <v>18</v>
      </c>
      <c r="H482" s="91">
        <f t="shared" si="207"/>
        <v>19</v>
      </c>
      <c r="I482" s="92">
        <f t="shared" si="207"/>
        <v>20</v>
      </c>
      <c r="K482" s="93">
        <v>3</v>
      </c>
      <c r="L482" s="103" t="s">
        <v>425</v>
      </c>
      <c r="M482" s="104">
        <v>4</v>
      </c>
      <c r="N482" s="96"/>
      <c r="O482" s="101">
        <f>U481+1</f>
        <v>11</v>
      </c>
      <c r="P482" s="91">
        <f t="shared" si="211"/>
        <v>12</v>
      </c>
      <c r="Q482" s="91">
        <f t="shared" si="211"/>
        <v>13</v>
      </c>
      <c r="R482" s="91">
        <f t="shared" si="211"/>
        <v>14</v>
      </c>
      <c r="S482" s="91">
        <f t="shared" si="208"/>
        <v>15</v>
      </c>
      <c r="T482" s="91">
        <f>S482+1</f>
        <v>16</v>
      </c>
      <c r="U482" s="92">
        <f>T482+1</f>
        <v>17</v>
      </c>
      <c r="W482" s="98">
        <v>7</v>
      </c>
      <c r="X482" s="103" t="s">
        <v>425</v>
      </c>
      <c r="Y482" s="105">
        <v>4</v>
      </c>
      <c r="Z482" s="96"/>
      <c r="AA482" s="101">
        <f>AG481+1</f>
        <v>11</v>
      </c>
      <c r="AB482" s="91">
        <f t="shared" si="212"/>
        <v>12</v>
      </c>
      <c r="AC482" s="91">
        <f t="shared" si="212"/>
        <v>13</v>
      </c>
      <c r="AD482" s="91">
        <f t="shared" si="212"/>
        <v>14</v>
      </c>
      <c r="AE482" s="91">
        <f t="shared" si="209"/>
        <v>15</v>
      </c>
      <c r="AF482" s="91">
        <f>AE482+1</f>
        <v>16</v>
      </c>
      <c r="AG482" s="92">
        <f>AF482+1</f>
        <v>17</v>
      </c>
      <c r="AI482" s="100">
        <v>11</v>
      </c>
      <c r="AJ482" s="103" t="s">
        <v>425</v>
      </c>
      <c r="AK482" s="106">
        <v>5</v>
      </c>
    </row>
    <row r="483" spans="1:37" x14ac:dyDescent="0.2">
      <c r="A483" s="14">
        <v>483</v>
      </c>
      <c r="C483" s="101">
        <f>I482+1</f>
        <v>21</v>
      </c>
      <c r="D483" s="91">
        <f t="shared" si="210"/>
        <v>22</v>
      </c>
      <c r="E483" s="91">
        <f t="shared" si="210"/>
        <v>23</v>
      </c>
      <c r="F483" s="91">
        <f t="shared" si="210"/>
        <v>24</v>
      </c>
      <c r="G483" s="91">
        <f t="shared" si="206"/>
        <v>25</v>
      </c>
      <c r="H483" s="91">
        <f t="shared" si="207"/>
        <v>26</v>
      </c>
      <c r="I483" s="92">
        <f t="shared" si="207"/>
        <v>27</v>
      </c>
      <c r="K483" s="93">
        <v>4</v>
      </c>
      <c r="L483" s="103" t="s">
        <v>878</v>
      </c>
      <c r="M483" s="104">
        <v>31</v>
      </c>
      <c r="N483" s="96"/>
      <c r="O483" s="101">
        <f>U482+1</f>
        <v>18</v>
      </c>
      <c r="P483" s="91">
        <f t="shared" si="211"/>
        <v>19</v>
      </c>
      <c r="Q483" s="91">
        <f t="shared" si="211"/>
        <v>20</v>
      </c>
      <c r="R483" s="91">
        <f t="shared" si="211"/>
        <v>21</v>
      </c>
      <c r="S483" s="91">
        <f t="shared" si="208"/>
        <v>22</v>
      </c>
      <c r="T483" s="91">
        <f>S483+1</f>
        <v>23</v>
      </c>
      <c r="U483" s="92">
        <f>T483+1</f>
        <v>24</v>
      </c>
      <c r="W483" s="98">
        <v>8</v>
      </c>
      <c r="X483" s="103" t="s">
        <v>878</v>
      </c>
      <c r="Y483" s="105">
        <v>28</v>
      </c>
      <c r="Z483" s="96"/>
      <c r="AA483" s="101">
        <f>AG482+1</f>
        <v>18</v>
      </c>
      <c r="AB483" s="91">
        <f t="shared" si="212"/>
        <v>19</v>
      </c>
      <c r="AC483" s="91">
        <f t="shared" si="212"/>
        <v>20</v>
      </c>
      <c r="AD483" s="91">
        <f t="shared" si="212"/>
        <v>21</v>
      </c>
      <c r="AE483" s="124">
        <f t="shared" si="209"/>
        <v>22</v>
      </c>
      <c r="AF483" s="131">
        <f>AE483+1</f>
        <v>23</v>
      </c>
      <c r="AG483" s="92">
        <f>AF483+1</f>
        <v>24</v>
      </c>
      <c r="AI483" s="100">
        <v>12</v>
      </c>
      <c r="AJ483" s="103" t="s">
        <v>878</v>
      </c>
      <c r="AK483" s="106">
        <v>31</v>
      </c>
    </row>
    <row r="484" spans="1:37" x14ac:dyDescent="0.2">
      <c r="A484" s="14">
        <v>484</v>
      </c>
      <c r="C484" s="101">
        <f>I483+1</f>
        <v>28</v>
      </c>
      <c r="D484" s="91">
        <f t="shared" si="210"/>
        <v>29</v>
      </c>
      <c r="E484" s="91">
        <f t="shared" si="210"/>
        <v>30</v>
      </c>
      <c r="F484" s="91">
        <f t="shared" si="210"/>
        <v>31</v>
      </c>
      <c r="G484" s="91"/>
      <c r="H484" s="91"/>
      <c r="I484" s="92"/>
      <c r="K484" s="93">
        <v>5</v>
      </c>
      <c r="L484" s="107"/>
      <c r="M484" s="108"/>
      <c r="N484" s="96"/>
      <c r="O484" s="101">
        <f>U483+1</f>
        <v>25</v>
      </c>
      <c r="P484" s="91">
        <f t="shared" si="211"/>
        <v>26</v>
      </c>
      <c r="Q484" s="91">
        <f t="shared" si="211"/>
        <v>27</v>
      </c>
      <c r="R484" s="91">
        <f t="shared" si="211"/>
        <v>28</v>
      </c>
      <c r="S484" s="91"/>
      <c r="T484" s="91"/>
      <c r="U484" s="92"/>
      <c r="W484" s="98">
        <v>9</v>
      </c>
      <c r="X484" s="107"/>
      <c r="Y484" s="109"/>
      <c r="Z484" s="96"/>
      <c r="AA484" s="101">
        <f>AG483+1</f>
        <v>25</v>
      </c>
      <c r="AB484" s="91">
        <f t="shared" si="212"/>
        <v>26</v>
      </c>
      <c r="AC484" s="91">
        <f t="shared" si="212"/>
        <v>27</v>
      </c>
      <c r="AD484" s="134">
        <f t="shared" si="212"/>
        <v>28</v>
      </c>
      <c r="AE484" s="91">
        <f t="shared" si="209"/>
        <v>29</v>
      </c>
      <c r="AF484" s="91">
        <f>AE484+1</f>
        <v>30</v>
      </c>
      <c r="AG484" s="92">
        <f>AF484+1</f>
        <v>31</v>
      </c>
      <c r="AI484" s="100">
        <v>13</v>
      </c>
      <c r="AJ484" s="111"/>
      <c r="AK484" s="112"/>
    </row>
    <row r="485" spans="1:37" x14ac:dyDescent="0.2">
      <c r="A485" s="14">
        <v>485</v>
      </c>
      <c r="C485" s="101"/>
      <c r="D485" s="91"/>
      <c r="E485" s="91"/>
      <c r="F485" s="113"/>
      <c r="G485" s="113"/>
      <c r="H485" s="113"/>
      <c r="I485" s="114"/>
      <c r="K485" s="93"/>
      <c r="L485" s="107"/>
      <c r="M485" s="115"/>
      <c r="N485" s="96"/>
      <c r="O485" s="101"/>
      <c r="P485" s="91"/>
      <c r="Q485" s="113"/>
      <c r="R485" s="113"/>
      <c r="S485" s="113"/>
      <c r="T485" s="113"/>
      <c r="U485" s="114"/>
      <c r="W485" s="98"/>
      <c r="X485" s="107"/>
      <c r="Y485" s="96"/>
      <c r="Z485" s="96"/>
      <c r="AA485" s="101"/>
      <c r="AB485" s="91"/>
      <c r="AC485" s="113"/>
      <c r="AD485" s="113"/>
      <c r="AE485" s="113"/>
      <c r="AF485" s="113"/>
      <c r="AG485" s="114"/>
      <c r="AI485" s="100"/>
      <c r="AJ485" s="111"/>
      <c r="AK485" s="4"/>
    </row>
    <row r="486" spans="1:37" x14ac:dyDescent="0.2">
      <c r="A486" s="14">
        <v>486</v>
      </c>
      <c r="C486" s="88"/>
      <c r="D486" s="88"/>
      <c r="E486" s="88"/>
      <c r="F486" s="88"/>
      <c r="G486" s="88"/>
      <c r="H486" s="88"/>
      <c r="I486" s="88"/>
      <c r="K486" s="117"/>
      <c r="L486" s="111"/>
      <c r="M486" s="118"/>
      <c r="N486" s="4"/>
      <c r="O486" s="4"/>
      <c r="P486" s="4"/>
      <c r="Q486" s="4"/>
      <c r="R486" s="4"/>
      <c r="S486" s="4"/>
      <c r="T486" s="4"/>
      <c r="U486" s="4"/>
      <c r="W486" s="119"/>
      <c r="X486" s="111"/>
      <c r="Y486" s="4"/>
      <c r="Z486" s="4"/>
      <c r="AA486" s="4"/>
      <c r="AB486" s="4"/>
      <c r="AC486" s="4"/>
      <c r="AD486" s="4"/>
      <c r="AE486" s="4"/>
      <c r="AF486" s="4"/>
      <c r="AG486" s="4"/>
      <c r="AI486" s="120"/>
      <c r="AJ486" s="111"/>
      <c r="AK486" s="4"/>
    </row>
    <row r="487" spans="1:37" x14ac:dyDescent="0.2">
      <c r="A487" s="14">
        <v>487</v>
      </c>
      <c r="C487" s="404" t="s">
        <v>1030</v>
      </c>
      <c r="D487" s="88"/>
      <c r="E487" s="88"/>
      <c r="F487" s="88"/>
      <c r="G487" s="88"/>
      <c r="H487" s="88"/>
      <c r="I487" s="88"/>
      <c r="K487" s="117"/>
      <c r="L487" s="111"/>
      <c r="M487" s="121"/>
      <c r="N487" s="4"/>
      <c r="O487" s="404" t="s">
        <v>1031</v>
      </c>
      <c r="P487" s="88"/>
      <c r="Q487" s="88"/>
      <c r="R487" s="88"/>
      <c r="S487" s="88"/>
      <c r="T487" s="88"/>
      <c r="U487" s="88"/>
      <c r="W487" s="119"/>
      <c r="X487" s="111"/>
      <c r="Y487" s="4"/>
      <c r="Z487" s="4"/>
      <c r="AA487" s="404" t="s">
        <v>1032</v>
      </c>
      <c r="AB487" s="88"/>
      <c r="AC487" s="88"/>
      <c r="AD487" s="88"/>
      <c r="AE487" s="88"/>
      <c r="AF487" s="88"/>
      <c r="AG487" s="88"/>
      <c r="AI487" s="120"/>
      <c r="AJ487" s="111"/>
      <c r="AK487" s="4"/>
    </row>
    <row r="488" spans="1:37" x14ac:dyDescent="0.2">
      <c r="A488" s="14">
        <v>488</v>
      </c>
      <c r="C488" s="55" t="s">
        <v>3</v>
      </c>
      <c r="D488" s="55" t="s">
        <v>177</v>
      </c>
      <c r="E488" s="55" t="s">
        <v>178</v>
      </c>
      <c r="F488" s="55" t="s">
        <v>178</v>
      </c>
      <c r="G488" s="55" t="s">
        <v>9</v>
      </c>
      <c r="H488" s="55" t="s">
        <v>857</v>
      </c>
      <c r="I488" s="55" t="s">
        <v>854</v>
      </c>
      <c r="K488" s="56" t="s">
        <v>877</v>
      </c>
      <c r="L488" s="111"/>
      <c r="M488" s="121"/>
      <c r="N488" s="4"/>
      <c r="O488" s="55" t="s">
        <v>3</v>
      </c>
      <c r="P488" s="55" t="s">
        <v>177</v>
      </c>
      <c r="Q488" s="55" t="s">
        <v>178</v>
      </c>
      <c r="R488" s="55" t="s">
        <v>178</v>
      </c>
      <c r="S488" s="55" t="s">
        <v>9</v>
      </c>
      <c r="T488" s="55" t="s">
        <v>857</v>
      </c>
      <c r="U488" s="55" t="s">
        <v>854</v>
      </c>
      <c r="W488" s="56" t="s">
        <v>877</v>
      </c>
      <c r="X488" s="111"/>
      <c r="Y488" s="4"/>
      <c r="Z488" s="4"/>
      <c r="AA488" s="55" t="s">
        <v>3</v>
      </c>
      <c r="AB488" s="55" t="s">
        <v>177</v>
      </c>
      <c r="AC488" s="55" t="s">
        <v>178</v>
      </c>
      <c r="AD488" s="55" t="s">
        <v>178</v>
      </c>
      <c r="AE488" s="55" t="s">
        <v>9</v>
      </c>
      <c r="AF488" s="55" t="s">
        <v>857</v>
      </c>
      <c r="AG488" s="55" t="s">
        <v>854</v>
      </c>
      <c r="AI488" s="56" t="s">
        <v>877</v>
      </c>
      <c r="AJ488" s="111"/>
      <c r="AK488" s="4"/>
    </row>
    <row r="489" spans="1:37" x14ac:dyDescent="0.2">
      <c r="A489" s="14">
        <v>489</v>
      </c>
      <c r="C489" s="101">
        <v>1</v>
      </c>
      <c r="D489" s="91">
        <f t="shared" ref="D489:F492" si="213">C489+1</f>
        <v>2</v>
      </c>
      <c r="E489" s="91">
        <f t="shared" si="213"/>
        <v>3</v>
      </c>
      <c r="F489" s="91">
        <f t="shared" si="213"/>
        <v>4</v>
      </c>
      <c r="G489" s="91">
        <f t="shared" ref="G489:I492" si="214">F489+1</f>
        <v>5</v>
      </c>
      <c r="H489" s="91">
        <f t="shared" si="214"/>
        <v>6</v>
      </c>
      <c r="I489" s="92">
        <f t="shared" si="214"/>
        <v>7</v>
      </c>
      <c r="K489" s="122">
        <v>14</v>
      </c>
      <c r="L489" s="94"/>
      <c r="M489" s="123"/>
      <c r="N489" s="4"/>
      <c r="O489" s="58"/>
      <c r="P489" s="97"/>
      <c r="Q489" s="125">
        <f t="shared" ref="Q489:U492" si="215">P489+1</f>
        <v>1</v>
      </c>
      <c r="R489" s="125">
        <f t="shared" si="215"/>
        <v>2</v>
      </c>
      <c r="S489" s="125">
        <f t="shared" si="215"/>
        <v>3</v>
      </c>
      <c r="T489" s="125">
        <f t="shared" si="215"/>
        <v>4</v>
      </c>
      <c r="U489" s="407">
        <f t="shared" si="215"/>
        <v>5</v>
      </c>
      <c r="W489" s="100">
        <v>18</v>
      </c>
      <c r="X489" s="94"/>
      <c r="Y489" s="49"/>
      <c r="Z489" s="4"/>
      <c r="AA489" s="414" t="s">
        <v>185</v>
      </c>
      <c r="AB489" s="125" t="s">
        <v>185</v>
      </c>
      <c r="AC489" s="125" t="s">
        <v>185</v>
      </c>
      <c r="AD489" s="125" t="s">
        <v>185</v>
      </c>
      <c r="AE489" s="125" t="s">
        <v>185</v>
      </c>
      <c r="AF489" s="125">
        <v>1</v>
      </c>
      <c r="AG489" s="92">
        <f>AF489+1</f>
        <v>2</v>
      </c>
      <c r="AI489" s="100">
        <v>23</v>
      </c>
      <c r="AJ489" s="94"/>
      <c r="AK489" s="123"/>
    </row>
    <row r="490" spans="1:37" x14ac:dyDescent="0.2">
      <c r="A490" s="14">
        <v>490</v>
      </c>
      <c r="C490" s="101">
        <f>I489+1</f>
        <v>8</v>
      </c>
      <c r="D490" s="91">
        <f t="shared" ref="D490:E492" si="216">C490+1</f>
        <v>9</v>
      </c>
      <c r="E490" s="91">
        <f t="shared" si="216"/>
        <v>10</v>
      </c>
      <c r="F490" s="91">
        <f t="shared" si="213"/>
        <v>11</v>
      </c>
      <c r="G490" s="124">
        <f t="shared" si="214"/>
        <v>12</v>
      </c>
      <c r="H490" s="124">
        <f t="shared" si="214"/>
        <v>13</v>
      </c>
      <c r="I490" s="92">
        <f t="shared" si="214"/>
        <v>14</v>
      </c>
      <c r="K490" s="122">
        <v>15</v>
      </c>
      <c r="L490" s="103" t="s">
        <v>418</v>
      </c>
      <c r="M490" s="126">
        <v>5</v>
      </c>
      <c r="N490" s="4"/>
      <c r="O490" s="101">
        <f>U489+1</f>
        <v>6</v>
      </c>
      <c r="P490" s="125">
        <f>O490+1</f>
        <v>7</v>
      </c>
      <c r="Q490" s="125">
        <f t="shared" si="215"/>
        <v>8</v>
      </c>
      <c r="R490" s="125">
        <f t="shared" si="215"/>
        <v>9</v>
      </c>
      <c r="S490" s="125">
        <f t="shared" si="215"/>
        <v>10</v>
      </c>
      <c r="T490" s="125">
        <f t="shared" si="215"/>
        <v>11</v>
      </c>
      <c r="U490" s="92">
        <f t="shared" si="215"/>
        <v>12</v>
      </c>
      <c r="W490" s="100">
        <v>19</v>
      </c>
      <c r="X490" s="103" t="s">
        <v>418</v>
      </c>
      <c r="Y490" s="106">
        <v>4</v>
      </c>
      <c r="Z490" s="4"/>
      <c r="AA490" s="101">
        <f>AG489+1</f>
        <v>3</v>
      </c>
      <c r="AB490" s="125">
        <f t="shared" ref="AB490:AF491" si="217">AA490+1</f>
        <v>4</v>
      </c>
      <c r="AC490" s="125">
        <f t="shared" si="217"/>
        <v>5</v>
      </c>
      <c r="AD490" s="125">
        <f t="shared" si="217"/>
        <v>6</v>
      </c>
      <c r="AE490" s="125">
        <f t="shared" si="217"/>
        <v>7</v>
      </c>
      <c r="AF490" s="125">
        <f t="shared" si="217"/>
        <v>8</v>
      </c>
      <c r="AG490" s="92">
        <f>AF490+1</f>
        <v>9</v>
      </c>
      <c r="AI490" s="100">
        <v>24</v>
      </c>
      <c r="AJ490" s="103" t="s">
        <v>418</v>
      </c>
      <c r="AK490" s="106">
        <v>4</v>
      </c>
    </row>
    <row r="491" spans="1:37" x14ac:dyDescent="0.2">
      <c r="A491" s="14">
        <v>491</v>
      </c>
      <c r="C491" s="101">
        <f>I490+1</f>
        <v>15</v>
      </c>
      <c r="D491" s="91">
        <f t="shared" si="216"/>
        <v>16</v>
      </c>
      <c r="E491" s="91">
        <f t="shared" si="216"/>
        <v>17</v>
      </c>
      <c r="F491" s="91">
        <f t="shared" si="213"/>
        <v>18</v>
      </c>
      <c r="G491" s="91">
        <f t="shared" si="214"/>
        <v>19</v>
      </c>
      <c r="H491" s="91">
        <f t="shared" si="214"/>
        <v>20</v>
      </c>
      <c r="I491" s="92">
        <f t="shared" si="214"/>
        <v>21</v>
      </c>
      <c r="K491" s="122">
        <v>16</v>
      </c>
      <c r="L491" s="103" t="s">
        <v>425</v>
      </c>
      <c r="M491" s="126">
        <v>4</v>
      </c>
      <c r="N491" s="4"/>
      <c r="O491" s="101">
        <f>U490+1</f>
        <v>13</v>
      </c>
      <c r="P491" s="125">
        <f>O491+1</f>
        <v>14</v>
      </c>
      <c r="Q491" s="125">
        <f t="shared" si="215"/>
        <v>15</v>
      </c>
      <c r="R491" s="125">
        <f t="shared" si="215"/>
        <v>16</v>
      </c>
      <c r="S491" s="125">
        <f t="shared" si="215"/>
        <v>17</v>
      </c>
      <c r="T491" s="125">
        <f t="shared" si="215"/>
        <v>18</v>
      </c>
      <c r="U491" s="92">
        <f t="shared" si="215"/>
        <v>19</v>
      </c>
      <c r="W491" s="100">
        <v>20</v>
      </c>
      <c r="X491" s="103" t="s">
        <v>425</v>
      </c>
      <c r="Y491" s="106">
        <v>4</v>
      </c>
      <c r="Z491" s="4"/>
      <c r="AA491" s="101">
        <f>AG490+1</f>
        <v>10</v>
      </c>
      <c r="AB491" s="125">
        <f t="shared" si="217"/>
        <v>11</v>
      </c>
      <c r="AC491" s="97">
        <f t="shared" si="217"/>
        <v>12</v>
      </c>
      <c r="AD491" s="130">
        <f t="shared" si="217"/>
        <v>13</v>
      </c>
      <c r="AE491" s="130">
        <f t="shared" si="217"/>
        <v>14</v>
      </c>
      <c r="AF491" s="97">
        <f t="shared" si="217"/>
        <v>15</v>
      </c>
      <c r="AG491" s="92">
        <f>AF491+1</f>
        <v>16</v>
      </c>
      <c r="AI491" s="100">
        <v>25</v>
      </c>
      <c r="AJ491" s="103" t="s">
        <v>425</v>
      </c>
      <c r="AK491" s="106">
        <v>5</v>
      </c>
    </row>
    <row r="492" spans="1:37" x14ac:dyDescent="0.2">
      <c r="A492" s="14">
        <v>492</v>
      </c>
      <c r="C492" s="101">
        <f>I491+1</f>
        <v>22</v>
      </c>
      <c r="D492" s="131">
        <f t="shared" si="216"/>
        <v>23</v>
      </c>
      <c r="E492" s="97">
        <f t="shared" si="216"/>
        <v>24</v>
      </c>
      <c r="F492" s="97">
        <f t="shared" si="213"/>
        <v>25</v>
      </c>
      <c r="G492" s="91">
        <f t="shared" si="214"/>
        <v>26</v>
      </c>
      <c r="H492" s="91">
        <f t="shared" si="214"/>
        <v>27</v>
      </c>
      <c r="I492" s="92">
        <f t="shared" si="214"/>
        <v>28</v>
      </c>
      <c r="K492" s="122">
        <v>17</v>
      </c>
      <c r="L492" s="103" t="s">
        <v>878</v>
      </c>
      <c r="M492" s="126">
        <v>30</v>
      </c>
      <c r="N492" s="4"/>
      <c r="O492" s="101">
        <f>U491+1</f>
        <v>20</v>
      </c>
      <c r="P492" s="125">
        <f>O492+1</f>
        <v>21</v>
      </c>
      <c r="Q492" s="125">
        <f t="shared" si="215"/>
        <v>22</v>
      </c>
      <c r="R492" s="125">
        <f t="shared" si="215"/>
        <v>23</v>
      </c>
      <c r="S492" s="125">
        <f t="shared" si="215"/>
        <v>24</v>
      </c>
      <c r="T492" s="125">
        <f t="shared" si="215"/>
        <v>25</v>
      </c>
      <c r="U492" s="92">
        <f t="shared" si="215"/>
        <v>26</v>
      </c>
      <c r="W492" s="100">
        <v>21</v>
      </c>
      <c r="X492" s="103" t="s">
        <v>878</v>
      </c>
      <c r="Y492" s="106">
        <v>31</v>
      </c>
      <c r="Z492" s="4"/>
      <c r="AA492" s="101">
        <f>AG491+1</f>
        <v>17</v>
      </c>
      <c r="AB492" s="125">
        <f>AA492+1</f>
        <v>18</v>
      </c>
      <c r="AC492" s="130">
        <f>AB492+1</f>
        <v>19</v>
      </c>
      <c r="AD492" s="125">
        <f t="shared" ref="AD492:AG493" si="218">AC492+1</f>
        <v>20</v>
      </c>
      <c r="AE492" s="125">
        <f t="shared" si="218"/>
        <v>21</v>
      </c>
      <c r="AF492" s="125">
        <f t="shared" si="218"/>
        <v>22</v>
      </c>
      <c r="AG492" s="92">
        <f t="shared" si="218"/>
        <v>23</v>
      </c>
      <c r="AI492" s="100">
        <v>26</v>
      </c>
      <c r="AJ492" s="103" t="s">
        <v>878</v>
      </c>
      <c r="AK492" s="106">
        <v>30</v>
      </c>
    </row>
    <row r="493" spans="1:37" x14ac:dyDescent="0.2">
      <c r="A493" s="14">
        <v>493</v>
      </c>
      <c r="C493" s="101">
        <f>I492+1</f>
        <v>29</v>
      </c>
      <c r="D493" s="91">
        <f>C493+1</f>
        <v>30</v>
      </c>
      <c r="E493" s="91"/>
      <c r="F493" s="91"/>
      <c r="G493" s="91"/>
      <c r="H493" s="91"/>
      <c r="I493" s="92"/>
      <c r="K493" s="122">
        <v>18</v>
      </c>
      <c r="L493" s="111"/>
      <c r="M493" s="127"/>
      <c r="N493" s="4"/>
      <c r="O493" s="101">
        <f>U492+1</f>
        <v>27</v>
      </c>
      <c r="P493" s="125">
        <f>O493+1</f>
        <v>28</v>
      </c>
      <c r="Q493" s="125">
        <f>P493+1</f>
        <v>29</v>
      </c>
      <c r="R493" s="125">
        <f>Q493+1</f>
        <v>30</v>
      </c>
      <c r="S493" s="125">
        <f>R493+1</f>
        <v>31</v>
      </c>
      <c r="T493" s="125"/>
      <c r="U493" s="92"/>
      <c r="W493" s="100">
        <v>22</v>
      </c>
      <c r="X493" s="111"/>
      <c r="Y493" s="128"/>
      <c r="Z493" s="4"/>
      <c r="AA493" s="101">
        <f>AG492+1</f>
        <v>24</v>
      </c>
      <c r="AB493" s="125">
        <f>AA493+1</f>
        <v>25</v>
      </c>
      <c r="AC493" s="125">
        <f>AB493+1</f>
        <v>26</v>
      </c>
      <c r="AD493" s="125">
        <f t="shared" si="218"/>
        <v>27</v>
      </c>
      <c r="AE493" s="125">
        <f t="shared" si="218"/>
        <v>28</v>
      </c>
      <c r="AF493" s="125">
        <f t="shared" si="218"/>
        <v>29</v>
      </c>
      <c r="AG493" s="92">
        <f t="shared" si="218"/>
        <v>30</v>
      </c>
      <c r="AI493" s="100">
        <v>27</v>
      </c>
      <c r="AJ493" s="111"/>
      <c r="AK493" s="112"/>
    </row>
    <row r="494" spans="1:37" x14ac:dyDescent="0.2">
      <c r="A494" s="14">
        <v>494</v>
      </c>
      <c r="C494" s="101"/>
      <c r="D494" s="91"/>
      <c r="E494" s="113"/>
      <c r="F494" s="113"/>
      <c r="G494" s="113"/>
      <c r="H494" s="113"/>
      <c r="I494" s="114"/>
      <c r="K494" s="122"/>
      <c r="L494" s="111"/>
      <c r="M494" s="121"/>
      <c r="N494" s="4"/>
      <c r="O494" s="101"/>
      <c r="P494" s="125"/>
      <c r="Q494" s="401"/>
      <c r="R494" s="401"/>
      <c r="S494" s="401"/>
      <c r="T494" s="129"/>
      <c r="U494" s="114"/>
      <c r="W494" s="100"/>
      <c r="X494" s="111"/>
      <c r="Y494" s="4"/>
      <c r="Z494" s="4"/>
      <c r="AA494" s="101"/>
      <c r="AB494" s="125"/>
      <c r="AC494" s="125"/>
      <c r="AD494" s="129"/>
      <c r="AE494" s="129"/>
      <c r="AF494" s="129"/>
      <c r="AG494" s="114"/>
      <c r="AI494" s="100"/>
      <c r="AJ494" s="111"/>
      <c r="AK494" s="4"/>
    </row>
    <row r="495" spans="1:37" x14ac:dyDescent="0.2">
      <c r="A495" s="14">
        <v>495</v>
      </c>
      <c r="C495" s="88"/>
      <c r="D495" s="88"/>
      <c r="E495" s="88"/>
      <c r="F495" s="88"/>
      <c r="G495" s="88"/>
      <c r="H495" s="88"/>
      <c r="I495" s="88"/>
      <c r="K495" s="117"/>
      <c r="L495" s="111"/>
      <c r="M495" s="121"/>
      <c r="N495" s="4"/>
      <c r="O495" s="88"/>
      <c r="P495" s="88"/>
      <c r="Q495" s="88"/>
      <c r="R495" s="88"/>
      <c r="S495" s="88"/>
      <c r="T495" s="88"/>
      <c r="U495" s="88"/>
      <c r="W495" s="119"/>
      <c r="X495" s="111"/>
      <c r="Y495" s="4"/>
      <c r="Z495" s="4"/>
      <c r="AA495" s="4"/>
      <c r="AB495" s="4"/>
      <c r="AC495" s="4"/>
      <c r="AD495" s="4"/>
      <c r="AE495" s="4"/>
      <c r="AF495" s="4"/>
      <c r="AG495" s="4"/>
      <c r="AI495" s="120"/>
      <c r="AJ495" s="111"/>
      <c r="AK495" s="4"/>
    </row>
    <row r="496" spans="1:37" x14ac:dyDescent="0.2">
      <c r="A496" s="14">
        <v>496</v>
      </c>
      <c r="C496" s="404" t="s">
        <v>1033</v>
      </c>
      <c r="D496" s="88"/>
      <c r="E496" s="88"/>
      <c r="F496" s="88"/>
      <c r="G496" s="88"/>
      <c r="H496" s="88"/>
      <c r="I496" s="88"/>
      <c r="K496" s="117"/>
      <c r="L496" s="111"/>
      <c r="M496" s="121"/>
      <c r="N496" s="4"/>
      <c r="O496" s="404" t="s">
        <v>1034</v>
      </c>
      <c r="P496" s="88"/>
      <c r="Q496" s="88"/>
      <c r="R496" s="88"/>
      <c r="S496" s="88"/>
      <c r="T496" s="88"/>
      <c r="U496" s="88"/>
      <c r="W496" s="119"/>
      <c r="X496" s="111"/>
      <c r="Y496" s="4"/>
      <c r="Z496" s="4"/>
      <c r="AA496" s="404" t="s">
        <v>1035</v>
      </c>
      <c r="AB496" s="88"/>
      <c r="AC496" s="88"/>
      <c r="AD496" s="88"/>
      <c r="AE496" s="88"/>
      <c r="AF496" s="88"/>
      <c r="AG496" s="88"/>
      <c r="AI496" s="120"/>
      <c r="AJ496" s="111"/>
      <c r="AK496" s="4"/>
    </row>
    <row r="497" spans="1:37" x14ac:dyDescent="0.2">
      <c r="A497" s="14">
        <v>497</v>
      </c>
      <c r="C497" s="55" t="s">
        <v>3</v>
      </c>
      <c r="D497" s="55" t="s">
        <v>177</v>
      </c>
      <c r="E497" s="55" t="s">
        <v>178</v>
      </c>
      <c r="F497" s="55" t="s">
        <v>178</v>
      </c>
      <c r="G497" s="55" t="s">
        <v>9</v>
      </c>
      <c r="H497" s="55" t="s">
        <v>857</v>
      </c>
      <c r="I497" s="55" t="s">
        <v>854</v>
      </c>
      <c r="K497" s="56" t="s">
        <v>877</v>
      </c>
      <c r="L497" s="111"/>
      <c r="M497" s="121"/>
      <c r="N497" s="4"/>
      <c r="O497" s="55" t="s">
        <v>3</v>
      </c>
      <c r="P497" s="55" t="s">
        <v>177</v>
      </c>
      <c r="Q497" s="55" t="s">
        <v>178</v>
      </c>
      <c r="R497" s="55" t="s">
        <v>178</v>
      </c>
      <c r="S497" s="55" t="s">
        <v>9</v>
      </c>
      <c r="T497" s="55" t="s">
        <v>857</v>
      </c>
      <c r="U497" s="55" t="s">
        <v>854</v>
      </c>
      <c r="W497" s="56" t="s">
        <v>877</v>
      </c>
      <c r="X497" s="111"/>
      <c r="Y497" s="4"/>
      <c r="Z497" s="4"/>
      <c r="AA497" s="55" t="s">
        <v>3</v>
      </c>
      <c r="AB497" s="55" t="s">
        <v>177</v>
      </c>
      <c r="AC497" s="55" t="s">
        <v>178</v>
      </c>
      <c r="AD497" s="55" t="s">
        <v>178</v>
      </c>
      <c r="AE497" s="55" t="s">
        <v>9</v>
      </c>
      <c r="AF497" s="55" t="s">
        <v>857</v>
      </c>
      <c r="AG497" s="55" t="s">
        <v>854</v>
      </c>
      <c r="AI497" s="56" t="s">
        <v>877</v>
      </c>
      <c r="AJ497" s="111"/>
      <c r="AK497" s="4"/>
    </row>
    <row r="498" spans="1:37" x14ac:dyDescent="0.2">
      <c r="A498" s="14">
        <v>498</v>
      </c>
      <c r="C498" s="101">
        <v>1</v>
      </c>
      <c r="D498" s="130">
        <f t="shared" ref="D498:E502" si="219">C498+1</f>
        <v>2</v>
      </c>
      <c r="E498" s="130">
        <f t="shared" si="219"/>
        <v>3</v>
      </c>
      <c r="F498" s="97">
        <f t="shared" ref="F498:I501" si="220">E498+1</f>
        <v>4</v>
      </c>
      <c r="G498" s="97">
        <f t="shared" si="220"/>
        <v>5</v>
      </c>
      <c r="H498" s="125">
        <f t="shared" si="220"/>
        <v>6</v>
      </c>
      <c r="I498" s="407">
        <f t="shared" si="220"/>
        <v>7</v>
      </c>
      <c r="K498" s="122">
        <v>28</v>
      </c>
      <c r="L498" s="94"/>
      <c r="M498" s="123"/>
      <c r="N498" s="4"/>
      <c r="O498" s="101"/>
      <c r="P498" s="125"/>
      <c r="Q498" s="125"/>
      <c r="R498" s="125">
        <v>1</v>
      </c>
      <c r="S498" s="125">
        <f t="shared" ref="S498:T502" si="221">R498+1</f>
        <v>2</v>
      </c>
      <c r="T498" s="125">
        <f t="shared" si="221"/>
        <v>3</v>
      </c>
      <c r="U498" s="92">
        <f>T498+1</f>
        <v>4</v>
      </c>
      <c r="W498" s="100">
        <v>32</v>
      </c>
      <c r="X498" s="94"/>
      <c r="Y498" s="49"/>
      <c r="Z498" s="4"/>
      <c r="AA498" s="414" t="s">
        <v>185</v>
      </c>
      <c r="AB498" s="125" t="s">
        <v>185</v>
      </c>
      <c r="AC498" s="125" t="s">
        <v>185</v>
      </c>
      <c r="AD498" s="125" t="s">
        <v>185</v>
      </c>
      <c r="AE498" s="125" t="s">
        <v>185</v>
      </c>
      <c r="AF498" s="125" t="s">
        <v>185</v>
      </c>
      <c r="AG498" s="92">
        <v>1</v>
      </c>
      <c r="AI498" s="100">
        <v>36</v>
      </c>
      <c r="AJ498" s="94"/>
      <c r="AK498" s="49"/>
    </row>
    <row r="499" spans="1:37" x14ac:dyDescent="0.2">
      <c r="A499" s="14">
        <v>499</v>
      </c>
      <c r="C499" s="101">
        <f>I498+1</f>
        <v>8</v>
      </c>
      <c r="D499" s="130">
        <f t="shared" si="219"/>
        <v>9</v>
      </c>
      <c r="E499" s="97">
        <f>D499+1</f>
        <v>10</v>
      </c>
      <c r="F499" s="97">
        <f t="shared" si="220"/>
        <v>11</v>
      </c>
      <c r="G499" s="125">
        <f t="shared" si="220"/>
        <v>12</v>
      </c>
      <c r="H499" s="125">
        <f t="shared" si="220"/>
        <v>13</v>
      </c>
      <c r="I499" s="92">
        <f t="shared" si="220"/>
        <v>14</v>
      </c>
      <c r="K499" s="122">
        <v>29</v>
      </c>
      <c r="L499" s="103" t="s">
        <v>418</v>
      </c>
      <c r="M499" s="126">
        <v>5</v>
      </c>
      <c r="N499" s="4"/>
      <c r="O499" s="101">
        <f>U498+1</f>
        <v>5</v>
      </c>
      <c r="P499" s="125">
        <f t="shared" ref="P499:R502" si="222">O499+1</f>
        <v>6</v>
      </c>
      <c r="Q499" s="125">
        <f t="shared" si="222"/>
        <v>7</v>
      </c>
      <c r="R499" s="125">
        <f t="shared" si="222"/>
        <v>8</v>
      </c>
      <c r="S499" s="125">
        <f t="shared" si="221"/>
        <v>9</v>
      </c>
      <c r="T499" s="125">
        <f>S499+1</f>
        <v>10</v>
      </c>
      <c r="U499" s="92">
        <f>T499+1</f>
        <v>11</v>
      </c>
      <c r="W499" s="100">
        <v>33</v>
      </c>
      <c r="X499" s="103" t="s">
        <v>418</v>
      </c>
      <c r="Y499" s="106">
        <v>4</v>
      </c>
      <c r="Z499" s="4"/>
      <c r="AA499" s="101">
        <f>AG498+1</f>
        <v>2</v>
      </c>
      <c r="AB499" s="125">
        <f t="shared" ref="AB499:AG502" si="223">AA499+1</f>
        <v>3</v>
      </c>
      <c r="AC499" s="125">
        <f t="shared" si="223"/>
        <v>4</v>
      </c>
      <c r="AD499" s="125">
        <f t="shared" si="223"/>
        <v>5</v>
      </c>
      <c r="AE499" s="125">
        <f t="shared" si="223"/>
        <v>6</v>
      </c>
      <c r="AF499" s="125">
        <f t="shared" si="223"/>
        <v>7</v>
      </c>
      <c r="AG499" s="92">
        <f t="shared" si="223"/>
        <v>8</v>
      </c>
      <c r="AI499" s="100">
        <v>37</v>
      </c>
      <c r="AJ499" s="103" t="s">
        <v>418</v>
      </c>
      <c r="AK499" s="106">
        <v>5</v>
      </c>
    </row>
    <row r="500" spans="1:37" x14ac:dyDescent="0.2">
      <c r="A500" s="14">
        <v>500</v>
      </c>
      <c r="C500" s="101">
        <f>I499+1</f>
        <v>15</v>
      </c>
      <c r="D500" s="125">
        <f t="shared" si="219"/>
        <v>16</v>
      </c>
      <c r="E500" s="125">
        <f>D500+1</f>
        <v>17</v>
      </c>
      <c r="F500" s="125">
        <f t="shared" si="220"/>
        <v>18</v>
      </c>
      <c r="G500" s="125">
        <f t="shared" si="220"/>
        <v>19</v>
      </c>
      <c r="H500" s="125">
        <f t="shared" si="220"/>
        <v>20</v>
      </c>
      <c r="I500" s="92">
        <f t="shared" si="220"/>
        <v>21</v>
      </c>
      <c r="K500" s="122">
        <v>30</v>
      </c>
      <c r="L500" s="103" t="s">
        <v>425</v>
      </c>
      <c r="M500" s="126">
        <v>4</v>
      </c>
      <c r="N500" s="4"/>
      <c r="O500" s="101">
        <f>U499+1</f>
        <v>12</v>
      </c>
      <c r="P500" s="125">
        <f t="shared" si="222"/>
        <v>13</v>
      </c>
      <c r="Q500" s="125">
        <f t="shared" si="222"/>
        <v>14</v>
      </c>
      <c r="R500" s="125">
        <f t="shared" si="222"/>
        <v>15</v>
      </c>
      <c r="S500" s="125">
        <f t="shared" si="221"/>
        <v>16</v>
      </c>
      <c r="T500" s="125">
        <f>S500+1</f>
        <v>17</v>
      </c>
      <c r="U500" s="92">
        <f>T500+1</f>
        <v>18</v>
      </c>
      <c r="W500" s="100">
        <v>34</v>
      </c>
      <c r="X500" s="103" t="s">
        <v>425</v>
      </c>
      <c r="Y500" s="106">
        <v>4</v>
      </c>
      <c r="Z500" s="4"/>
      <c r="AA500" s="101">
        <f>AG499+1</f>
        <v>9</v>
      </c>
      <c r="AB500" s="125">
        <f t="shared" si="223"/>
        <v>10</v>
      </c>
      <c r="AC500" s="125">
        <f t="shared" si="223"/>
        <v>11</v>
      </c>
      <c r="AD500" s="125">
        <f t="shared" si="223"/>
        <v>12</v>
      </c>
      <c r="AE500" s="125">
        <f t="shared" si="223"/>
        <v>13</v>
      </c>
      <c r="AF500" s="125">
        <f t="shared" si="223"/>
        <v>14</v>
      </c>
      <c r="AG500" s="92">
        <f t="shared" si="223"/>
        <v>15</v>
      </c>
      <c r="AI500" s="100">
        <v>38</v>
      </c>
      <c r="AJ500" s="103" t="s">
        <v>425</v>
      </c>
      <c r="AK500" s="106">
        <v>5</v>
      </c>
    </row>
    <row r="501" spans="1:37" x14ac:dyDescent="0.2">
      <c r="A501" s="14">
        <v>501</v>
      </c>
      <c r="C501" s="101">
        <f>I500+1</f>
        <v>22</v>
      </c>
      <c r="D501" s="125">
        <f t="shared" si="219"/>
        <v>23</v>
      </c>
      <c r="E501" s="125">
        <f>D501+1</f>
        <v>24</v>
      </c>
      <c r="F501" s="125">
        <f t="shared" si="220"/>
        <v>25</v>
      </c>
      <c r="G501" s="134">
        <f t="shared" si="220"/>
        <v>26</v>
      </c>
      <c r="H501" s="124">
        <f t="shared" si="220"/>
        <v>27</v>
      </c>
      <c r="I501" s="92">
        <f t="shared" si="220"/>
        <v>28</v>
      </c>
      <c r="K501" s="122">
        <v>31</v>
      </c>
      <c r="L501" s="103" t="s">
        <v>878</v>
      </c>
      <c r="M501" s="126">
        <v>31</v>
      </c>
      <c r="N501" s="4"/>
      <c r="O501" s="101">
        <f>U500+1</f>
        <v>19</v>
      </c>
      <c r="P501" s="125">
        <f t="shared" si="222"/>
        <v>20</v>
      </c>
      <c r="Q501" s="125">
        <f t="shared" si="222"/>
        <v>21</v>
      </c>
      <c r="R501" s="125">
        <f t="shared" si="222"/>
        <v>22</v>
      </c>
      <c r="S501" s="125">
        <f t="shared" si="221"/>
        <v>23</v>
      </c>
      <c r="T501" s="125">
        <f>S501+1</f>
        <v>24</v>
      </c>
      <c r="U501" s="92">
        <f>T501+1</f>
        <v>25</v>
      </c>
      <c r="W501" s="100">
        <v>35</v>
      </c>
      <c r="X501" s="103" t="s">
        <v>878</v>
      </c>
      <c r="Y501" s="106">
        <v>31</v>
      </c>
      <c r="Z501" s="4"/>
      <c r="AA501" s="101">
        <f>AG500+1</f>
        <v>16</v>
      </c>
      <c r="AB501" s="125">
        <f t="shared" si="223"/>
        <v>17</v>
      </c>
      <c r="AC501" s="125">
        <f t="shared" si="223"/>
        <v>18</v>
      </c>
      <c r="AD501" s="125">
        <f t="shared" si="223"/>
        <v>19</v>
      </c>
      <c r="AE501" s="125">
        <f t="shared" si="223"/>
        <v>20</v>
      </c>
      <c r="AF501" s="125">
        <f t="shared" si="223"/>
        <v>21</v>
      </c>
      <c r="AG501" s="92">
        <f t="shared" si="223"/>
        <v>22</v>
      </c>
      <c r="AI501" s="100">
        <v>39</v>
      </c>
      <c r="AJ501" s="103" t="s">
        <v>878</v>
      </c>
      <c r="AK501" s="106">
        <v>30</v>
      </c>
    </row>
    <row r="502" spans="1:37" x14ac:dyDescent="0.2">
      <c r="A502" s="14">
        <v>502</v>
      </c>
      <c r="C502" s="101">
        <f>I501+1</f>
        <v>29</v>
      </c>
      <c r="D502" s="134">
        <f t="shared" si="219"/>
        <v>30</v>
      </c>
      <c r="E502" s="125">
        <f>D502+1</f>
        <v>31</v>
      </c>
      <c r="F502" s="125"/>
      <c r="G502" s="125"/>
      <c r="H502" s="125"/>
      <c r="I502" s="92"/>
      <c r="K502" s="122">
        <v>32</v>
      </c>
      <c r="L502" s="111"/>
      <c r="M502" s="127"/>
      <c r="N502" s="4"/>
      <c r="O502" s="101">
        <f>U501+1</f>
        <v>26</v>
      </c>
      <c r="P502" s="125">
        <f t="shared" si="222"/>
        <v>27</v>
      </c>
      <c r="Q502" s="125">
        <f t="shared" si="222"/>
        <v>28</v>
      </c>
      <c r="R502" s="125">
        <f t="shared" si="222"/>
        <v>29</v>
      </c>
      <c r="S502" s="125">
        <f t="shared" si="221"/>
        <v>30</v>
      </c>
      <c r="T502" s="125">
        <f>S502+1</f>
        <v>31</v>
      </c>
      <c r="U502" s="92"/>
      <c r="W502" s="100">
        <v>36</v>
      </c>
      <c r="X502" s="111"/>
      <c r="Y502" s="112"/>
      <c r="Z502" s="4"/>
      <c r="AA502" s="101">
        <f>AG501+1</f>
        <v>23</v>
      </c>
      <c r="AB502" s="125">
        <f t="shared" si="223"/>
        <v>24</v>
      </c>
      <c r="AC502" s="125">
        <f t="shared" si="223"/>
        <v>25</v>
      </c>
      <c r="AD502" s="125">
        <f t="shared" si="223"/>
        <v>26</v>
      </c>
      <c r="AE502" s="125">
        <f t="shared" si="223"/>
        <v>27</v>
      </c>
      <c r="AF502" s="125">
        <f t="shared" si="223"/>
        <v>28</v>
      </c>
      <c r="AG502" s="92">
        <f t="shared" si="223"/>
        <v>29</v>
      </c>
      <c r="AI502" s="413">
        <v>40</v>
      </c>
      <c r="AJ502" s="111"/>
      <c r="AK502" s="112"/>
    </row>
    <row r="503" spans="1:37" x14ac:dyDescent="0.2">
      <c r="A503" s="14">
        <v>503</v>
      </c>
      <c r="C503" s="101"/>
      <c r="D503" s="125"/>
      <c r="E503" s="401"/>
      <c r="F503" s="129"/>
      <c r="G503" s="129"/>
      <c r="H503" s="129"/>
      <c r="I503" s="114"/>
      <c r="K503" s="122"/>
      <c r="L503" s="111"/>
      <c r="M503" s="121"/>
      <c r="N503" s="4"/>
      <c r="O503" s="101"/>
      <c r="P503" s="125"/>
      <c r="Q503" s="125"/>
      <c r="R503" s="125"/>
      <c r="S503" s="125"/>
      <c r="T503" s="125"/>
      <c r="U503" s="92"/>
      <c r="W503" s="100"/>
      <c r="X503" s="111"/>
      <c r="Y503" s="4"/>
      <c r="Z503" s="4"/>
      <c r="AA503" s="101">
        <f>AG502+1</f>
        <v>30</v>
      </c>
      <c r="AB503" s="125"/>
      <c r="AC503" s="125"/>
      <c r="AD503" s="129"/>
      <c r="AE503" s="129"/>
      <c r="AF503" s="129"/>
      <c r="AG503" s="114"/>
      <c r="AI503" s="413">
        <v>41</v>
      </c>
      <c r="AJ503" s="111"/>
      <c r="AK503" s="4"/>
    </row>
    <row r="504" spans="1:37" x14ac:dyDescent="0.2">
      <c r="A504" s="14">
        <v>504</v>
      </c>
      <c r="C504" s="88"/>
      <c r="D504" s="88"/>
      <c r="E504" s="88"/>
      <c r="F504" s="88"/>
      <c r="G504" s="88"/>
      <c r="H504" s="88"/>
      <c r="I504" s="88"/>
      <c r="K504" s="117"/>
      <c r="L504" s="111"/>
      <c r="M504" s="121"/>
      <c r="N504" s="4"/>
      <c r="O504" s="88"/>
      <c r="P504" s="88"/>
      <c r="Q504" s="88"/>
      <c r="R504" s="88"/>
      <c r="S504" s="88"/>
      <c r="T504" s="88"/>
      <c r="U504" s="88"/>
      <c r="W504" s="119"/>
      <c r="X504" s="111"/>
      <c r="Y504" s="4"/>
      <c r="Z504" s="4"/>
      <c r="AA504" s="4"/>
      <c r="AB504" s="4"/>
      <c r="AC504" s="4"/>
      <c r="AD504" s="4"/>
      <c r="AE504" s="4"/>
      <c r="AF504" s="4"/>
      <c r="AG504" s="4"/>
      <c r="AI504" s="120"/>
      <c r="AJ504" s="111"/>
      <c r="AK504" s="4"/>
    </row>
    <row r="505" spans="1:37" x14ac:dyDescent="0.2">
      <c r="A505" s="14">
        <v>505</v>
      </c>
      <c r="C505" s="404" t="s">
        <v>1036</v>
      </c>
      <c r="D505" s="88"/>
      <c r="E505" s="88"/>
      <c r="F505" s="88"/>
      <c r="G505" s="88"/>
      <c r="H505" s="88"/>
      <c r="I505" s="88"/>
      <c r="K505" s="117"/>
      <c r="L505" s="111"/>
      <c r="M505" s="121"/>
      <c r="N505" s="4"/>
      <c r="O505" s="404" t="s">
        <v>1037</v>
      </c>
      <c r="P505" s="88"/>
      <c r="Q505" s="88"/>
      <c r="R505" s="88"/>
      <c r="S505" s="88"/>
      <c r="T505" s="88"/>
      <c r="U505" s="88"/>
      <c r="W505" s="119"/>
      <c r="X505" s="111"/>
      <c r="Y505" s="4"/>
      <c r="Z505" s="4"/>
      <c r="AA505" s="404" t="s">
        <v>1038</v>
      </c>
      <c r="AB505" s="88"/>
      <c r="AC505" s="88"/>
      <c r="AD505" s="88"/>
      <c r="AE505" s="88"/>
      <c r="AF505" s="88"/>
      <c r="AG505" s="88"/>
      <c r="AI505" s="120"/>
      <c r="AJ505" s="111"/>
      <c r="AK505" s="4"/>
    </row>
    <row r="506" spans="1:37" x14ac:dyDescent="0.2">
      <c r="A506" s="14">
        <v>506</v>
      </c>
      <c r="C506" s="55" t="s">
        <v>3</v>
      </c>
      <c r="D506" s="55" t="s">
        <v>177</v>
      </c>
      <c r="E506" s="55" t="s">
        <v>178</v>
      </c>
      <c r="F506" s="55" t="s">
        <v>178</v>
      </c>
      <c r="G506" s="55" t="s">
        <v>9</v>
      </c>
      <c r="H506" s="55" t="s">
        <v>857</v>
      </c>
      <c r="I506" s="55" t="s">
        <v>854</v>
      </c>
      <c r="K506" s="56" t="s">
        <v>877</v>
      </c>
      <c r="L506" s="111"/>
      <c r="M506" s="121"/>
      <c r="N506" s="4"/>
      <c r="O506" s="55" t="s">
        <v>3</v>
      </c>
      <c r="P506" s="55" t="s">
        <v>177</v>
      </c>
      <c r="Q506" s="55" t="s">
        <v>178</v>
      </c>
      <c r="R506" s="55" t="s">
        <v>178</v>
      </c>
      <c r="S506" s="55" t="s">
        <v>9</v>
      </c>
      <c r="T506" s="55" t="s">
        <v>857</v>
      </c>
      <c r="U506" s="55" t="s">
        <v>854</v>
      </c>
      <c r="W506" s="56" t="s">
        <v>877</v>
      </c>
      <c r="X506" s="111"/>
      <c r="Y506" s="4"/>
      <c r="Z506" s="4"/>
      <c r="AA506" s="55" t="s">
        <v>3</v>
      </c>
      <c r="AB506" s="55" t="s">
        <v>177</v>
      </c>
      <c r="AC506" s="55" t="s">
        <v>178</v>
      </c>
      <c r="AD506" s="55" t="s">
        <v>178</v>
      </c>
      <c r="AE506" s="55" t="s">
        <v>9</v>
      </c>
      <c r="AF506" s="55" t="s">
        <v>857</v>
      </c>
      <c r="AG506" s="55" t="s">
        <v>854</v>
      </c>
      <c r="AI506" s="56" t="s">
        <v>877</v>
      </c>
      <c r="AJ506" s="111"/>
      <c r="AK506" s="4"/>
    </row>
    <row r="507" spans="1:37" x14ac:dyDescent="0.2">
      <c r="A507" s="14">
        <v>507</v>
      </c>
      <c r="C507" s="101"/>
      <c r="D507" s="125">
        <v>1</v>
      </c>
      <c r="E507" s="125">
        <f t="shared" ref="E507:G510" si="224">D507+1</f>
        <v>2</v>
      </c>
      <c r="F507" s="125">
        <f t="shared" si="224"/>
        <v>3</v>
      </c>
      <c r="G507" s="125">
        <f t="shared" si="224"/>
        <v>4</v>
      </c>
      <c r="H507" s="125">
        <f t="shared" ref="H507:I510" si="225">G507+1</f>
        <v>5</v>
      </c>
      <c r="I507" s="92">
        <f t="shared" si="225"/>
        <v>6</v>
      </c>
      <c r="K507" s="122">
        <v>41</v>
      </c>
      <c r="L507" s="94"/>
      <c r="M507" s="123"/>
      <c r="N507" s="4"/>
      <c r="O507" s="101"/>
      <c r="P507" s="125"/>
      <c r="Q507" s="125"/>
      <c r="R507" s="125"/>
      <c r="S507" s="125">
        <v>1</v>
      </c>
      <c r="T507" s="125">
        <f t="shared" ref="T507:U510" si="226">S507+1</f>
        <v>2</v>
      </c>
      <c r="U507" s="92">
        <f t="shared" si="226"/>
        <v>3</v>
      </c>
      <c r="W507" s="100">
        <v>45</v>
      </c>
      <c r="X507" s="94"/>
      <c r="Y507" s="49"/>
      <c r="Z507" s="4"/>
      <c r="AA507" s="414" t="s">
        <v>185</v>
      </c>
      <c r="AB507" s="125" t="s">
        <v>185</v>
      </c>
      <c r="AC507" s="125" t="s">
        <v>185</v>
      </c>
      <c r="AD507" s="125" t="s">
        <v>185</v>
      </c>
      <c r="AE507" s="125" t="s">
        <v>185</v>
      </c>
      <c r="AF507" s="125" t="s">
        <v>185</v>
      </c>
      <c r="AG507" s="92">
        <v>1</v>
      </c>
      <c r="AI507" s="100">
        <v>49</v>
      </c>
      <c r="AJ507" s="94"/>
      <c r="AK507" s="152"/>
    </row>
    <row r="508" spans="1:37" x14ac:dyDescent="0.2">
      <c r="A508" s="14">
        <v>508</v>
      </c>
      <c r="C508" s="101">
        <f>I507+1</f>
        <v>7</v>
      </c>
      <c r="D508" s="124">
        <f t="shared" ref="D508:F511" si="227">C508+1</f>
        <v>8</v>
      </c>
      <c r="E508" s="131">
        <f t="shared" si="227"/>
        <v>9</v>
      </c>
      <c r="F508" s="125">
        <f t="shared" si="227"/>
        <v>10</v>
      </c>
      <c r="G508" s="125">
        <f t="shared" si="224"/>
        <v>11</v>
      </c>
      <c r="H508" s="125">
        <f t="shared" si="225"/>
        <v>12</v>
      </c>
      <c r="I508" s="92">
        <f t="shared" si="225"/>
        <v>13</v>
      </c>
      <c r="K508" s="122">
        <v>42</v>
      </c>
      <c r="L508" s="103" t="s">
        <v>418</v>
      </c>
      <c r="M508" s="126">
        <v>4</v>
      </c>
      <c r="N508" s="4"/>
      <c r="O508" s="101">
        <f>U507+1</f>
        <v>4</v>
      </c>
      <c r="P508" s="125">
        <f t="shared" ref="P508:S511" si="228">O508+1</f>
        <v>5</v>
      </c>
      <c r="Q508" s="125">
        <f t="shared" si="228"/>
        <v>6</v>
      </c>
      <c r="R508" s="125">
        <f t="shared" si="228"/>
        <v>7</v>
      </c>
      <c r="S508" s="125">
        <f t="shared" si="228"/>
        <v>8</v>
      </c>
      <c r="T508" s="125">
        <f t="shared" si="226"/>
        <v>9</v>
      </c>
      <c r="U508" s="92">
        <f t="shared" si="226"/>
        <v>10</v>
      </c>
      <c r="W508" s="100">
        <v>46</v>
      </c>
      <c r="X508" s="103" t="s">
        <v>418</v>
      </c>
      <c r="Y508" s="106">
        <v>4</v>
      </c>
      <c r="Z508" s="4"/>
      <c r="AA508" s="101">
        <f>AG507+1</f>
        <v>2</v>
      </c>
      <c r="AB508" s="125">
        <f t="shared" ref="AB508:AG511" si="229">AA508+1</f>
        <v>3</v>
      </c>
      <c r="AC508" s="125">
        <f t="shared" si="229"/>
        <v>4</v>
      </c>
      <c r="AD508" s="125">
        <f t="shared" si="229"/>
        <v>5</v>
      </c>
      <c r="AE508" s="125">
        <f t="shared" si="229"/>
        <v>6</v>
      </c>
      <c r="AF508" s="125">
        <f t="shared" si="229"/>
        <v>7</v>
      </c>
      <c r="AG508" s="92">
        <f t="shared" si="229"/>
        <v>8</v>
      </c>
      <c r="AI508" s="100">
        <v>50</v>
      </c>
      <c r="AJ508" s="103" t="s">
        <v>418</v>
      </c>
      <c r="AK508" s="106">
        <v>5</v>
      </c>
    </row>
    <row r="509" spans="1:37" x14ac:dyDescent="0.2">
      <c r="A509" s="14">
        <v>509</v>
      </c>
      <c r="C509" s="101">
        <f>I508+1</f>
        <v>14</v>
      </c>
      <c r="D509" s="125">
        <f t="shared" si="227"/>
        <v>15</v>
      </c>
      <c r="E509" s="125">
        <f t="shared" si="227"/>
        <v>16</v>
      </c>
      <c r="F509" s="125">
        <f t="shared" si="227"/>
        <v>17</v>
      </c>
      <c r="G509" s="125">
        <f t="shared" si="224"/>
        <v>18</v>
      </c>
      <c r="H509" s="125">
        <f t="shared" si="225"/>
        <v>19</v>
      </c>
      <c r="I509" s="92">
        <f t="shared" si="225"/>
        <v>20</v>
      </c>
      <c r="K509" s="122">
        <v>43</v>
      </c>
      <c r="L509" s="103" t="s">
        <v>425</v>
      </c>
      <c r="M509" s="126">
        <v>4</v>
      </c>
      <c r="N509" s="4"/>
      <c r="O509" s="101">
        <f>U508+1</f>
        <v>11</v>
      </c>
      <c r="P509" s="125">
        <f t="shared" si="228"/>
        <v>12</v>
      </c>
      <c r="Q509" s="125">
        <f t="shared" si="228"/>
        <v>13</v>
      </c>
      <c r="R509" s="125">
        <f t="shared" si="228"/>
        <v>14</v>
      </c>
      <c r="S509" s="125">
        <f t="shared" si="228"/>
        <v>15</v>
      </c>
      <c r="T509" s="125">
        <f t="shared" si="226"/>
        <v>16</v>
      </c>
      <c r="U509" s="92">
        <f t="shared" si="226"/>
        <v>17</v>
      </c>
      <c r="W509" s="100">
        <v>47</v>
      </c>
      <c r="X509" s="103" t="s">
        <v>425</v>
      </c>
      <c r="Y509" s="106">
        <v>4</v>
      </c>
      <c r="Z509" s="4"/>
      <c r="AA509" s="101">
        <f>AG508+1</f>
        <v>9</v>
      </c>
      <c r="AB509" s="125">
        <f t="shared" si="229"/>
        <v>10</v>
      </c>
      <c r="AC509" s="125">
        <f t="shared" si="229"/>
        <v>11</v>
      </c>
      <c r="AD509" s="125">
        <f t="shared" si="229"/>
        <v>12</v>
      </c>
      <c r="AE509" s="125">
        <f t="shared" si="229"/>
        <v>13</v>
      </c>
      <c r="AF509" s="124">
        <f t="shared" si="229"/>
        <v>14</v>
      </c>
      <c r="AG509" s="92">
        <f t="shared" si="229"/>
        <v>15</v>
      </c>
      <c r="AI509" s="100">
        <v>51</v>
      </c>
      <c r="AJ509" s="103" t="s">
        <v>425</v>
      </c>
      <c r="AK509" s="106">
        <v>5</v>
      </c>
    </row>
    <row r="510" spans="1:37" x14ac:dyDescent="0.2">
      <c r="A510" s="14">
        <v>510</v>
      </c>
      <c r="C510" s="101">
        <f>I509+1</f>
        <v>21</v>
      </c>
      <c r="D510" s="125">
        <f t="shared" si="227"/>
        <v>22</v>
      </c>
      <c r="E510" s="125">
        <f t="shared" si="227"/>
        <v>23</v>
      </c>
      <c r="F510" s="125">
        <f t="shared" si="227"/>
        <v>24</v>
      </c>
      <c r="G510" s="125">
        <f t="shared" si="224"/>
        <v>25</v>
      </c>
      <c r="H510" s="125">
        <f t="shared" si="225"/>
        <v>26</v>
      </c>
      <c r="I510" s="92">
        <f t="shared" si="225"/>
        <v>27</v>
      </c>
      <c r="K510" s="122">
        <v>44</v>
      </c>
      <c r="L510" s="103" t="s">
        <v>878</v>
      </c>
      <c r="M510" s="126">
        <v>31</v>
      </c>
      <c r="N510" s="4"/>
      <c r="O510" s="101">
        <f>U509+1</f>
        <v>18</v>
      </c>
      <c r="P510" s="125">
        <f t="shared" si="228"/>
        <v>19</v>
      </c>
      <c r="Q510" s="125">
        <f t="shared" si="228"/>
        <v>20</v>
      </c>
      <c r="R510" s="125">
        <f t="shared" si="228"/>
        <v>21</v>
      </c>
      <c r="S510" s="125">
        <f t="shared" si="228"/>
        <v>22</v>
      </c>
      <c r="T510" s="125">
        <f t="shared" si="226"/>
        <v>23</v>
      </c>
      <c r="U510" s="92">
        <f t="shared" si="226"/>
        <v>24</v>
      </c>
      <c r="W510" s="100">
        <v>48</v>
      </c>
      <c r="X510" s="103" t="s">
        <v>878</v>
      </c>
      <c r="Y510" s="106">
        <v>30</v>
      </c>
      <c r="Z510" s="4"/>
      <c r="AA510" s="101">
        <f>AG509+1</f>
        <v>16</v>
      </c>
      <c r="AB510" s="125">
        <f t="shared" si="229"/>
        <v>17</v>
      </c>
      <c r="AC510" s="125">
        <f t="shared" si="229"/>
        <v>18</v>
      </c>
      <c r="AD510" s="125">
        <f t="shared" si="229"/>
        <v>19</v>
      </c>
      <c r="AE510" s="125">
        <f t="shared" si="229"/>
        <v>20</v>
      </c>
      <c r="AF510" s="125">
        <f t="shared" si="229"/>
        <v>21</v>
      </c>
      <c r="AG510" s="92">
        <f t="shared" si="229"/>
        <v>22</v>
      </c>
      <c r="AI510" s="100">
        <v>52</v>
      </c>
      <c r="AJ510" s="103" t="s">
        <v>878</v>
      </c>
      <c r="AK510" s="106">
        <v>31</v>
      </c>
    </row>
    <row r="511" spans="1:37" x14ac:dyDescent="0.2">
      <c r="A511" s="14">
        <v>511</v>
      </c>
      <c r="C511" s="101">
        <f>I510+1</f>
        <v>28</v>
      </c>
      <c r="D511" s="125">
        <f t="shared" si="227"/>
        <v>29</v>
      </c>
      <c r="E511" s="125">
        <f t="shared" si="227"/>
        <v>30</v>
      </c>
      <c r="F511" s="125">
        <f t="shared" si="227"/>
        <v>31</v>
      </c>
      <c r="G511" s="125"/>
      <c r="H511" s="125"/>
      <c r="I511" s="114"/>
      <c r="K511" s="122">
        <v>45</v>
      </c>
      <c r="L511" s="4"/>
      <c r="M511" s="112"/>
      <c r="N511" s="4"/>
      <c r="O511" s="101">
        <f>U510+1</f>
        <v>25</v>
      </c>
      <c r="P511" s="125">
        <f t="shared" si="228"/>
        <v>26</v>
      </c>
      <c r="Q511" s="125">
        <f t="shared" si="228"/>
        <v>27</v>
      </c>
      <c r="R511" s="125">
        <f t="shared" si="228"/>
        <v>28</v>
      </c>
      <c r="S511" s="125">
        <f t="shared" si="228"/>
        <v>29</v>
      </c>
      <c r="T511" s="125">
        <f>S511+1</f>
        <v>30</v>
      </c>
      <c r="U511" s="92"/>
      <c r="W511" s="100">
        <v>49</v>
      </c>
      <c r="X511" s="111"/>
      <c r="Y511" s="112"/>
      <c r="Z511" s="4"/>
      <c r="AA511" s="101">
        <f>AG510+1</f>
        <v>23</v>
      </c>
      <c r="AB511" s="125">
        <f t="shared" si="229"/>
        <v>24</v>
      </c>
      <c r="AC511" s="125">
        <f t="shared" si="229"/>
        <v>25</v>
      </c>
      <c r="AD511" s="125">
        <f t="shared" si="229"/>
        <v>26</v>
      </c>
      <c r="AE511" s="125">
        <f t="shared" si="229"/>
        <v>27</v>
      </c>
      <c r="AF511" s="125">
        <f t="shared" si="229"/>
        <v>28</v>
      </c>
      <c r="AG511" s="92">
        <f t="shared" si="229"/>
        <v>29</v>
      </c>
      <c r="AI511" s="255">
        <v>53</v>
      </c>
      <c r="AJ511" s="111"/>
      <c r="AK511" s="4"/>
    </row>
    <row r="512" spans="1:37" x14ac:dyDescent="0.2">
      <c r="A512" s="14">
        <v>512</v>
      </c>
      <c r="C512" s="414" t="s">
        <v>185</v>
      </c>
      <c r="D512" s="125" t="s">
        <v>185</v>
      </c>
      <c r="E512" s="125" t="s">
        <v>185</v>
      </c>
      <c r="F512" s="125" t="s">
        <v>185</v>
      </c>
      <c r="G512" s="125" t="s">
        <v>185</v>
      </c>
      <c r="H512" s="125" t="s">
        <v>185</v>
      </c>
      <c r="I512" s="114"/>
      <c r="K512" s="122"/>
      <c r="L512" s="4"/>
      <c r="M512" s="4"/>
      <c r="N512" s="4"/>
      <c r="O512" s="101"/>
      <c r="P512" s="125"/>
      <c r="Q512" s="129"/>
      <c r="R512" s="129"/>
      <c r="S512" s="129"/>
      <c r="T512" s="129"/>
      <c r="U512" s="114"/>
      <c r="V512" s="133"/>
      <c r="W512" s="100"/>
      <c r="X512" s="4"/>
      <c r="Y512" s="4"/>
      <c r="Z512" s="4"/>
      <c r="AA512" s="101">
        <f>AG511+1</f>
        <v>30</v>
      </c>
      <c r="AB512" s="125">
        <f>AA512+1</f>
        <v>31</v>
      </c>
      <c r="AC512" s="125"/>
      <c r="AD512" s="125"/>
      <c r="AE512" s="129"/>
      <c r="AF512" s="129"/>
      <c r="AG512" s="114"/>
      <c r="AI512" s="116"/>
      <c r="AJ512" s="4"/>
      <c r="AK512" s="4"/>
    </row>
    <row r="513" spans="1:37" x14ac:dyDescent="0.2">
      <c r="A513" s="14">
        <v>513</v>
      </c>
      <c r="C513" s="88"/>
      <c r="D513" s="88"/>
      <c r="E513" s="88"/>
      <c r="F513" s="88"/>
      <c r="G513" s="88"/>
      <c r="H513" s="88"/>
      <c r="I513" s="8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88"/>
      <c r="AB513" s="88"/>
      <c r="AC513" s="88"/>
      <c r="AD513" s="88"/>
      <c r="AE513" s="88"/>
      <c r="AF513" s="88"/>
      <c r="AG513" s="88"/>
      <c r="AH513" s="4"/>
      <c r="AI513" s="4"/>
      <c r="AJ513" s="4"/>
      <c r="AK513" s="4"/>
    </row>
    <row r="514" spans="1:37" ht="12.75" x14ac:dyDescent="0.2">
      <c r="A514" s="14">
        <v>514</v>
      </c>
      <c r="C514" s="157"/>
      <c r="D514" s="141"/>
      <c r="E514" s="141"/>
      <c r="F514" s="141"/>
      <c r="G514" s="141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1"/>
      <c r="S514" s="140"/>
      <c r="T514" s="140"/>
      <c r="U514" s="140"/>
      <c r="V514" s="140"/>
      <c r="W514" s="140"/>
      <c r="X514" s="142" t="s">
        <v>1026</v>
      </c>
      <c r="Y514" s="141"/>
      <c r="Z514" s="4"/>
      <c r="AA514" s="88"/>
      <c r="AB514" s="88"/>
      <c r="AC514" s="88"/>
      <c r="AD514" s="88"/>
      <c r="AH514" s="153" t="s">
        <v>888</v>
      </c>
      <c r="AI514" s="144">
        <f>(M481+Y481+AK481+M490+Y490+AK490+M499+Y499+AK499+M508+Y508+AK508)</f>
        <v>52</v>
      </c>
    </row>
    <row r="515" spans="1:37" x14ac:dyDescent="0.2">
      <c r="A515" s="14">
        <v>515</v>
      </c>
      <c r="Z515" s="4"/>
      <c r="AA515" s="88"/>
      <c r="AB515" s="88"/>
      <c r="AC515" s="88"/>
      <c r="AD515" s="88"/>
      <c r="AH515" s="153" t="s">
        <v>889</v>
      </c>
      <c r="AI515" s="145">
        <f>(M482+Y482+AK482+M491+Y491+AK491+M500+Y500+AK500+M509+Y509+AK509)</f>
        <v>52</v>
      </c>
    </row>
    <row r="516" spans="1:37" x14ac:dyDescent="0.2">
      <c r="A516" s="14">
        <v>516</v>
      </c>
      <c r="C516" s="135"/>
      <c r="H516" s="4"/>
      <c r="I516" s="4"/>
      <c r="J516" s="4"/>
      <c r="K516" s="4"/>
      <c r="L516" s="4"/>
      <c r="M516" s="4"/>
      <c r="N516" s="4"/>
      <c r="O516" s="4"/>
      <c r="P516" s="4"/>
      <c r="Q516" s="4"/>
      <c r="S516" s="4"/>
      <c r="T516" s="4"/>
      <c r="U516" s="4"/>
      <c r="V516" s="4"/>
      <c r="W516" s="4"/>
      <c r="Z516" s="4"/>
      <c r="AA516" s="88"/>
      <c r="AB516" s="88"/>
      <c r="AC516" s="88"/>
      <c r="AD516" s="88"/>
      <c r="AH516" s="153" t="s">
        <v>890</v>
      </c>
      <c r="AI516" s="154">
        <f>(M483+Y483+AK483+M492+Y492+AK492+M501+Y501+AK501+M510+Y510+AK510)</f>
        <v>365</v>
      </c>
      <c r="AJ516" s="147" t="str">
        <f>IF(AI516&gt;365,"BISIESTO","NORMAL")</f>
        <v>NORMAL</v>
      </c>
    </row>
    <row r="517" spans="1:37" x14ac:dyDescent="0.2">
      <c r="A517" s="14">
        <v>517</v>
      </c>
      <c r="C517" s="135"/>
      <c r="H517" s="4"/>
      <c r="I517" s="4"/>
      <c r="J517" s="4"/>
      <c r="K517" s="4"/>
      <c r="L517" s="4"/>
      <c r="M517" s="4"/>
      <c r="N517" s="4"/>
      <c r="O517" s="4"/>
      <c r="P517" s="4"/>
      <c r="Q517" s="4"/>
      <c r="S517" s="4"/>
      <c r="T517" s="4"/>
      <c r="U517" s="4"/>
      <c r="V517" s="4"/>
      <c r="W517" s="4"/>
      <c r="Z517" s="4"/>
      <c r="AA517" s="88"/>
      <c r="AB517" s="88"/>
      <c r="AC517" s="88"/>
      <c r="AD517" s="88"/>
      <c r="AH517" s="153" t="s">
        <v>892</v>
      </c>
      <c r="AI517" s="149">
        <v>52</v>
      </c>
    </row>
    <row r="518" spans="1:37" x14ac:dyDescent="0.2">
      <c r="A518" s="14">
        <v>518</v>
      </c>
    </row>
    <row r="519" spans="1:37" ht="12.75" x14ac:dyDescent="0.2">
      <c r="A519" s="14">
        <v>519</v>
      </c>
      <c r="C519" s="85" t="s">
        <v>1039</v>
      </c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</row>
    <row r="520" spans="1:37" x14ac:dyDescent="0.2">
      <c r="A520" s="14">
        <v>520</v>
      </c>
    </row>
    <row r="521" spans="1:37" x14ac:dyDescent="0.2">
      <c r="A521" s="14">
        <v>521</v>
      </c>
      <c r="C521" s="404" t="s">
        <v>1040</v>
      </c>
      <c r="D521" s="88"/>
      <c r="E521" s="88"/>
      <c r="F521" s="88"/>
      <c r="G521" s="88"/>
      <c r="H521" s="88"/>
      <c r="I521" s="88"/>
      <c r="J521" s="4"/>
      <c r="K521" s="4"/>
      <c r="L521" s="89"/>
      <c r="M521" s="90"/>
      <c r="N521" s="4"/>
      <c r="O521" s="404" t="s">
        <v>1041</v>
      </c>
      <c r="P521" s="88"/>
      <c r="Q521" s="88"/>
      <c r="R521" s="88"/>
      <c r="S521" s="88"/>
      <c r="T521" s="88"/>
      <c r="U521" s="88"/>
      <c r="V521" s="4"/>
      <c r="W521" s="4"/>
      <c r="X521" s="4"/>
      <c r="Y521" s="4"/>
      <c r="Z521" s="4"/>
      <c r="AA521" s="404" t="s">
        <v>1042</v>
      </c>
      <c r="AB521" s="88"/>
      <c r="AC521" s="88"/>
      <c r="AD521" s="88"/>
      <c r="AE521" s="88"/>
      <c r="AF521" s="88"/>
      <c r="AG521" s="88"/>
      <c r="AH521" s="4"/>
      <c r="AI521" s="4"/>
      <c r="AJ521" s="4"/>
      <c r="AK521" s="4"/>
    </row>
    <row r="522" spans="1:37" x14ac:dyDescent="0.2">
      <c r="A522" s="14">
        <v>522</v>
      </c>
      <c r="C522" s="55" t="s">
        <v>3</v>
      </c>
      <c r="D522" s="55" t="s">
        <v>177</v>
      </c>
      <c r="E522" s="55" t="s">
        <v>178</v>
      </c>
      <c r="F522" s="55" t="s">
        <v>178</v>
      </c>
      <c r="G522" s="55" t="s">
        <v>9</v>
      </c>
      <c r="H522" s="55" t="s">
        <v>857</v>
      </c>
      <c r="I522" s="55" t="s">
        <v>854</v>
      </c>
      <c r="K522" s="56" t="s">
        <v>877</v>
      </c>
      <c r="L522" s="4"/>
      <c r="M522" s="4"/>
      <c r="N522" s="4"/>
      <c r="O522" s="55" t="s">
        <v>3</v>
      </c>
      <c r="P522" s="55" t="s">
        <v>177</v>
      </c>
      <c r="Q522" s="55" t="s">
        <v>178</v>
      </c>
      <c r="R522" s="55" t="s">
        <v>178</v>
      </c>
      <c r="S522" s="55" t="s">
        <v>9</v>
      </c>
      <c r="T522" s="55" t="s">
        <v>857</v>
      </c>
      <c r="U522" s="55" t="s">
        <v>854</v>
      </c>
      <c r="W522" s="56" t="s">
        <v>877</v>
      </c>
      <c r="X522" s="4"/>
      <c r="Y522" s="57"/>
      <c r="Z522" s="4"/>
      <c r="AA522" s="55" t="s">
        <v>3</v>
      </c>
      <c r="AB522" s="55" t="s">
        <v>177</v>
      </c>
      <c r="AC522" s="55" t="s">
        <v>178</v>
      </c>
      <c r="AD522" s="55" t="s">
        <v>178</v>
      </c>
      <c r="AE522" s="55" t="s">
        <v>9</v>
      </c>
      <c r="AF522" s="55" t="s">
        <v>857</v>
      </c>
      <c r="AG522" s="55" t="s">
        <v>854</v>
      </c>
      <c r="AI522" s="56" t="s">
        <v>877</v>
      </c>
      <c r="AJ522" s="4"/>
      <c r="AK522" s="4"/>
    </row>
    <row r="523" spans="1:37" x14ac:dyDescent="0.2">
      <c r="A523" s="14">
        <v>523</v>
      </c>
      <c r="C523" s="58"/>
      <c r="D523" s="91"/>
      <c r="E523" s="156">
        <v>1</v>
      </c>
      <c r="F523" s="91">
        <f t="shared" ref="F523:I526" si="230">E523+1</f>
        <v>2</v>
      </c>
      <c r="G523" s="91">
        <f t="shared" si="230"/>
        <v>3</v>
      </c>
      <c r="H523" s="91">
        <f t="shared" si="230"/>
        <v>4</v>
      </c>
      <c r="I523" s="405">
        <f t="shared" si="230"/>
        <v>5</v>
      </c>
      <c r="K523" s="93">
        <v>1</v>
      </c>
      <c r="L523" s="94"/>
      <c r="M523" s="95"/>
      <c r="N523" s="96"/>
      <c r="O523" s="414" t="s">
        <v>185</v>
      </c>
      <c r="P523" s="91" t="s">
        <v>185</v>
      </c>
      <c r="Q523" s="91" t="s">
        <v>185</v>
      </c>
      <c r="R523" s="91" t="s">
        <v>185</v>
      </c>
      <c r="S523" s="91" t="s">
        <v>185</v>
      </c>
      <c r="T523" s="91">
        <v>1</v>
      </c>
      <c r="U523" s="92">
        <f>T523+1</f>
        <v>2</v>
      </c>
      <c r="W523" s="98">
        <v>5</v>
      </c>
      <c r="X523" s="94"/>
      <c r="Y523" s="99"/>
      <c r="Z523" s="96"/>
      <c r="AA523" s="414" t="s">
        <v>185</v>
      </c>
      <c r="AB523" s="91" t="s">
        <v>185</v>
      </c>
      <c r="AC523" s="91" t="s">
        <v>185</v>
      </c>
      <c r="AD523" s="91" t="s">
        <v>185</v>
      </c>
      <c r="AE523" s="91" t="s">
        <v>185</v>
      </c>
      <c r="AF523" s="91">
        <v>1</v>
      </c>
      <c r="AG523" s="92">
        <f>AF523+1</f>
        <v>2</v>
      </c>
      <c r="AI523" s="100">
        <v>9</v>
      </c>
      <c r="AJ523" s="94"/>
      <c r="AK523" s="49"/>
    </row>
    <row r="524" spans="1:37" x14ac:dyDescent="0.2">
      <c r="A524" s="14">
        <v>524</v>
      </c>
      <c r="C524" s="101">
        <f>I523+1</f>
        <v>6</v>
      </c>
      <c r="D524" s="91">
        <f t="shared" ref="D524:E527" si="231">C524+1</f>
        <v>7</v>
      </c>
      <c r="E524" s="91">
        <f t="shared" si="231"/>
        <v>8</v>
      </c>
      <c r="F524" s="91">
        <f t="shared" si="230"/>
        <v>9</v>
      </c>
      <c r="G524" s="91">
        <f t="shared" si="230"/>
        <v>10</v>
      </c>
      <c r="H524" s="91">
        <f t="shared" si="230"/>
        <v>11</v>
      </c>
      <c r="I524" s="92">
        <f t="shared" si="230"/>
        <v>12</v>
      </c>
      <c r="K524" s="93">
        <v>2</v>
      </c>
      <c r="L524" s="103" t="s">
        <v>418</v>
      </c>
      <c r="M524" s="104">
        <v>4</v>
      </c>
      <c r="N524" s="96"/>
      <c r="O524" s="101">
        <f>U523+1</f>
        <v>3</v>
      </c>
      <c r="P524" s="91">
        <f t="shared" ref="P524:T526" si="232">O524+1</f>
        <v>4</v>
      </c>
      <c r="Q524" s="91">
        <f t="shared" si="232"/>
        <v>5</v>
      </c>
      <c r="R524" s="91">
        <f t="shared" si="232"/>
        <v>6</v>
      </c>
      <c r="S524" s="91">
        <f t="shared" si="232"/>
        <v>7</v>
      </c>
      <c r="T524" s="91">
        <f t="shared" si="232"/>
        <v>8</v>
      </c>
      <c r="U524" s="92">
        <f>T524+1</f>
        <v>9</v>
      </c>
      <c r="W524" s="98">
        <v>6</v>
      </c>
      <c r="X524" s="103" t="s">
        <v>418</v>
      </c>
      <c r="Y524" s="105">
        <v>4</v>
      </c>
      <c r="Z524" s="96"/>
      <c r="AA524" s="101">
        <f>AG523+1</f>
        <v>3</v>
      </c>
      <c r="AB524" s="91">
        <f t="shared" ref="AB524:AF527" si="233">AA524+1</f>
        <v>4</v>
      </c>
      <c r="AC524" s="91">
        <f t="shared" si="233"/>
        <v>5</v>
      </c>
      <c r="AD524" s="91">
        <f t="shared" si="233"/>
        <v>6</v>
      </c>
      <c r="AE524" s="91">
        <f t="shared" si="233"/>
        <v>7</v>
      </c>
      <c r="AF524" s="91">
        <f t="shared" si="233"/>
        <v>8</v>
      </c>
      <c r="AG524" s="92">
        <f>AF524+1</f>
        <v>9</v>
      </c>
      <c r="AI524" s="100">
        <v>10</v>
      </c>
      <c r="AJ524" s="103" t="s">
        <v>418</v>
      </c>
      <c r="AK524" s="106">
        <v>5</v>
      </c>
    </row>
    <row r="525" spans="1:37" x14ac:dyDescent="0.2">
      <c r="A525" s="14">
        <v>525</v>
      </c>
      <c r="C525" s="101">
        <f>I524+1</f>
        <v>13</v>
      </c>
      <c r="D525" s="91">
        <f t="shared" si="231"/>
        <v>14</v>
      </c>
      <c r="E525" s="91">
        <f t="shared" si="231"/>
        <v>15</v>
      </c>
      <c r="F525" s="91">
        <f t="shared" si="230"/>
        <v>16</v>
      </c>
      <c r="G525" s="91">
        <f t="shared" si="230"/>
        <v>17</v>
      </c>
      <c r="H525" s="91">
        <f t="shared" si="230"/>
        <v>18</v>
      </c>
      <c r="I525" s="92">
        <f t="shared" si="230"/>
        <v>19</v>
      </c>
      <c r="K525" s="93">
        <v>3</v>
      </c>
      <c r="L525" s="103" t="s">
        <v>425</v>
      </c>
      <c r="M525" s="104">
        <v>4</v>
      </c>
      <c r="N525" s="96"/>
      <c r="O525" s="101">
        <f>U524+1</f>
        <v>10</v>
      </c>
      <c r="P525" s="91">
        <f t="shared" si="232"/>
        <v>11</v>
      </c>
      <c r="Q525" s="91">
        <f t="shared" si="232"/>
        <v>12</v>
      </c>
      <c r="R525" s="91">
        <f t="shared" si="232"/>
        <v>13</v>
      </c>
      <c r="S525" s="91">
        <f t="shared" si="232"/>
        <v>14</v>
      </c>
      <c r="T525" s="91">
        <f t="shared" si="232"/>
        <v>15</v>
      </c>
      <c r="U525" s="92">
        <f>T525+1</f>
        <v>16</v>
      </c>
      <c r="W525" s="98">
        <v>7</v>
      </c>
      <c r="X525" s="103" t="s">
        <v>425</v>
      </c>
      <c r="Y525" s="105">
        <v>4</v>
      </c>
      <c r="Z525" s="96"/>
      <c r="AA525" s="101">
        <f>AG524+1</f>
        <v>10</v>
      </c>
      <c r="AB525" s="91">
        <f t="shared" si="233"/>
        <v>11</v>
      </c>
      <c r="AC525" s="91">
        <f t="shared" si="233"/>
        <v>12</v>
      </c>
      <c r="AD525" s="91">
        <f t="shared" si="233"/>
        <v>13</v>
      </c>
      <c r="AE525" s="124">
        <f t="shared" si="233"/>
        <v>14</v>
      </c>
      <c r="AF525" s="131">
        <f t="shared" si="233"/>
        <v>15</v>
      </c>
      <c r="AG525" s="92">
        <f>AF525+1</f>
        <v>16</v>
      </c>
      <c r="AI525" s="100">
        <v>11</v>
      </c>
      <c r="AJ525" s="103" t="s">
        <v>425</v>
      </c>
      <c r="AK525" s="106">
        <v>5</v>
      </c>
    </row>
    <row r="526" spans="1:37" x14ac:dyDescent="0.2">
      <c r="A526" s="14">
        <v>526</v>
      </c>
      <c r="C526" s="101">
        <f>I525+1</f>
        <v>20</v>
      </c>
      <c r="D526" s="91">
        <f t="shared" si="231"/>
        <v>21</v>
      </c>
      <c r="E526" s="91">
        <f t="shared" si="231"/>
        <v>22</v>
      </c>
      <c r="F526" s="91">
        <f t="shared" si="230"/>
        <v>23</v>
      </c>
      <c r="G526" s="91">
        <f t="shared" si="230"/>
        <v>24</v>
      </c>
      <c r="H526" s="91">
        <f t="shared" si="230"/>
        <v>25</v>
      </c>
      <c r="I526" s="92">
        <f t="shared" si="230"/>
        <v>26</v>
      </c>
      <c r="K526" s="93">
        <v>4</v>
      </c>
      <c r="L526" s="103" t="s">
        <v>878</v>
      </c>
      <c r="M526" s="104">
        <v>31</v>
      </c>
      <c r="N526" s="96"/>
      <c r="O526" s="101">
        <f>U525+1</f>
        <v>17</v>
      </c>
      <c r="P526" s="91">
        <f t="shared" si="232"/>
        <v>18</v>
      </c>
      <c r="Q526" s="91">
        <f t="shared" si="232"/>
        <v>19</v>
      </c>
      <c r="R526" s="91">
        <f t="shared" si="232"/>
        <v>20</v>
      </c>
      <c r="S526" s="91">
        <f t="shared" si="232"/>
        <v>21</v>
      </c>
      <c r="T526" s="91">
        <f t="shared" si="232"/>
        <v>22</v>
      </c>
      <c r="U526" s="92">
        <f>T526+1</f>
        <v>23</v>
      </c>
      <c r="W526" s="98">
        <v>8</v>
      </c>
      <c r="X526" s="103" t="s">
        <v>878</v>
      </c>
      <c r="Y526" s="105">
        <v>28</v>
      </c>
      <c r="Z526" s="96"/>
      <c r="AA526" s="101">
        <f>AG525+1</f>
        <v>17</v>
      </c>
      <c r="AB526" s="91">
        <f t="shared" si="233"/>
        <v>18</v>
      </c>
      <c r="AC526" s="91">
        <f t="shared" si="233"/>
        <v>19</v>
      </c>
      <c r="AD526" s="134">
        <f t="shared" si="233"/>
        <v>20</v>
      </c>
      <c r="AE526" s="91">
        <f t="shared" si="233"/>
        <v>21</v>
      </c>
      <c r="AF526" s="91">
        <f t="shared" si="233"/>
        <v>22</v>
      </c>
      <c r="AG526" s="92">
        <f>AF526+1</f>
        <v>23</v>
      </c>
      <c r="AI526" s="100">
        <v>12</v>
      </c>
      <c r="AJ526" s="103" t="s">
        <v>878</v>
      </c>
      <c r="AK526" s="106">
        <v>31</v>
      </c>
    </row>
    <row r="527" spans="1:37" x14ac:dyDescent="0.2">
      <c r="A527" s="14">
        <v>527</v>
      </c>
      <c r="C527" s="101">
        <f>I526+1</f>
        <v>27</v>
      </c>
      <c r="D527" s="91">
        <f t="shared" si="231"/>
        <v>28</v>
      </c>
      <c r="E527" s="91">
        <f t="shared" si="231"/>
        <v>29</v>
      </c>
      <c r="F527" s="91">
        <f>E527+1</f>
        <v>30</v>
      </c>
      <c r="G527" s="91">
        <f>F527+1</f>
        <v>31</v>
      </c>
      <c r="H527" s="91"/>
      <c r="I527" s="92"/>
      <c r="K527" s="93">
        <v>5</v>
      </c>
      <c r="L527" s="107"/>
      <c r="M527" s="108"/>
      <c r="N527" s="96"/>
      <c r="O527" s="101">
        <f>U526+1</f>
        <v>24</v>
      </c>
      <c r="P527" s="91">
        <f>O527+1</f>
        <v>25</v>
      </c>
      <c r="Q527" s="91">
        <f>P527+1</f>
        <v>26</v>
      </c>
      <c r="R527" s="91">
        <f>Q527+1</f>
        <v>27</v>
      </c>
      <c r="S527" s="91">
        <f>R527+1</f>
        <v>28</v>
      </c>
      <c r="T527" s="113"/>
      <c r="U527" s="114"/>
      <c r="W527" s="98">
        <v>9</v>
      </c>
      <c r="X527" s="107"/>
      <c r="Y527" s="109"/>
      <c r="Z527" s="96"/>
      <c r="AA527" s="101">
        <f>AG526+1</f>
        <v>24</v>
      </c>
      <c r="AB527" s="91">
        <f t="shared" si="233"/>
        <v>25</v>
      </c>
      <c r="AC527" s="416">
        <f t="shared" si="233"/>
        <v>26</v>
      </c>
      <c r="AD527" s="416">
        <f t="shared" si="233"/>
        <v>27</v>
      </c>
      <c r="AE527" s="416">
        <f t="shared" si="233"/>
        <v>28</v>
      </c>
      <c r="AF527" s="416">
        <f t="shared" si="233"/>
        <v>29</v>
      </c>
      <c r="AG527" s="92">
        <f>AF527+1</f>
        <v>30</v>
      </c>
      <c r="AI527" s="100">
        <v>13</v>
      </c>
      <c r="AJ527" s="111"/>
      <c r="AK527" s="112"/>
    </row>
    <row r="528" spans="1:37" x14ac:dyDescent="0.2">
      <c r="A528" s="14">
        <v>528</v>
      </c>
      <c r="C528" s="101"/>
      <c r="D528" s="91"/>
      <c r="E528" s="91"/>
      <c r="F528" s="113"/>
      <c r="G528" s="113"/>
      <c r="H528" s="113"/>
      <c r="I528" s="114"/>
      <c r="K528" s="93"/>
      <c r="L528" s="107"/>
      <c r="M528" s="115"/>
      <c r="N528" s="96"/>
      <c r="O528" s="101"/>
      <c r="P528" s="91"/>
      <c r="Q528" s="113"/>
      <c r="R528" s="113"/>
      <c r="S528" s="113"/>
      <c r="T528" s="113"/>
      <c r="U528" s="114"/>
      <c r="W528" s="98"/>
      <c r="X528" s="107"/>
      <c r="Y528" s="96"/>
      <c r="Z528" s="96"/>
      <c r="AA528" s="101">
        <f>AG527+1</f>
        <v>31</v>
      </c>
      <c r="AB528" s="91"/>
      <c r="AC528" s="113"/>
      <c r="AD528" s="113"/>
      <c r="AE528" s="113"/>
      <c r="AF528" s="113"/>
      <c r="AG528" s="114"/>
      <c r="AI528" s="100">
        <v>14</v>
      </c>
      <c r="AJ528" s="111"/>
      <c r="AK528" s="4"/>
    </row>
    <row r="529" spans="1:37" x14ac:dyDescent="0.2">
      <c r="A529" s="14">
        <v>529</v>
      </c>
      <c r="C529" s="88"/>
      <c r="D529" s="88"/>
      <c r="E529" s="88"/>
      <c r="F529" s="88"/>
      <c r="G529" s="88"/>
      <c r="H529" s="88"/>
      <c r="I529" s="88"/>
      <c r="K529" s="117"/>
      <c r="L529" s="111"/>
      <c r="M529" s="118"/>
      <c r="N529" s="4"/>
      <c r="O529" s="4"/>
      <c r="P529" s="4"/>
      <c r="Q529" s="4"/>
      <c r="R529" s="4"/>
      <c r="S529" s="4"/>
      <c r="T529" s="4"/>
      <c r="U529" s="4"/>
      <c r="W529" s="119"/>
      <c r="X529" s="111"/>
      <c r="Y529" s="4"/>
      <c r="Z529" s="4"/>
      <c r="AA529" s="4"/>
      <c r="AB529" s="4"/>
      <c r="AC529" s="4"/>
      <c r="AD529" s="4"/>
      <c r="AE529" s="4"/>
      <c r="AF529" s="4"/>
      <c r="AG529" s="4"/>
      <c r="AI529" s="120"/>
      <c r="AJ529" s="111"/>
      <c r="AK529" s="4"/>
    </row>
    <row r="530" spans="1:37" x14ac:dyDescent="0.2">
      <c r="A530" s="14">
        <v>530</v>
      </c>
      <c r="C530" s="404" t="s">
        <v>1043</v>
      </c>
      <c r="D530" s="88"/>
      <c r="E530" s="88"/>
      <c r="F530" s="88"/>
      <c r="G530" s="88"/>
      <c r="H530" s="88"/>
      <c r="I530" s="88"/>
      <c r="K530" s="117"/>
      <c r="L530" s="111"/>
      <c r="M530" s="121"/>
      <c r="N530" s="4"/>
      <c r="O530" s="404" t="s">
        <v>1044</v>
      </c>
      <c r="P530" s="88"/>
      <c r="Q530" s="88"/>
      <c r="R530" s="88"/>
      <c r="S530" s="88"/>
      <c r="T530" s="88"/>
      <c r="U530" s="88"/>
      <c r="W530" s="119"/>
      <c r="X530" s="111"/>
      <c r="Y530" s="4"/>
      <c r="Z530" s="4"/>
      <c r="AA530" s="404" t="s">
        <v>1045</v>
      </c>
      <c r="AB530" s="88"/>
      <c r="AC530" s="88"/>
      <c r="AD530" s="88"/>
      <c r="AE530" s="88"/>
      <c r="AF530" s="88"/>
      <c r="AG530" s="88"/>
      <c r="AI530" s="120"/>
      <c r="AJ530" s="111"/>
      <c r="AK530" s="4"/>
    </row>
    <row r="531" spans="1:37" x14ac:dyDescent="0.2">
      <c r="A531" s="14">
        <v>531</v>
      </c>
      <c r="C531" s="55" t="s">
        <v>3</v>
      </c>
      <c r="D531" s="55" t="s">
        <v>177</v>
      </c>
      <c r="E531" s="55" t="s">
        <v>178</v>
      </c>
      <c r="F531" s="55" t="s">
        <v>178</v>
      </c>
      <c r="G531" s="55" t="s">
        <v>9</v>
      </c>
      <c r="H531" s="55" t="s">
        <v>857</v>
      </c>
      <c r="I531" s="55" t="s">
        <v>854</v>
      </c>
      <c r="K531" s="56" t="s">
        <v>877</v>
      </c>
      <c r="L531" s="111"/>
      <c r="M531" s="121"/>
      <c r="N531" s="4"/>
      <c r="O531" s="55" t="s">
        <v>3</v>
      </c>
      <c r="P531" s="55" t="s">
        <v>177</v>
      </c>
      <c r="Q531" s="55" t="s">
        <v>178</v>
      </c>
      <c r="R531" s="55" t="s">
        <v>178</v>
      </c>
      <c r="S531" s="55" t="s">
        <v>9</v>
      </c>
      <c r="T531" s="55" t="s">
        <v>857</v>
      </c>
      <c r="U531" s="55" t="s">
        <v>854</v>
      </c>
      <c r="W531" s="56" t="s">
        <v>877</v>
      </c>
      <c r="X531" s="111"/>
      <c r="Y531" s="4"/>
      <c r="Z531" s="4"/>
      <c r="AA531" s="55" t="s">
        <v>3</v>
      </c>
      <c r="AB531" s="55" t="s">
        <v>177</v>
      </c>
      <c r="AC531" s="55" t="s">
        <v>178</v>
      </c>
      <c r="AD531" s="55" t="s">
        <v>178</v>
      </c>
      <c r="AE531" s="55" t="s">
        <v>9</v>
      </c>
      <c r="AF531" s="55" t="s">
        <v>857</v>
      </c>
      <c r="AG531" s="55" t="s">
        <v>854</v>
      </c>
      <c r="AI531" s="56" t="s">
        <v>877</v>
      </c>
      <c r="AJ531" s="111"/>
      <c r="AK531" s="4"/>
    </row>
    <row r="532" spans="1:37" x14ac:dyDescent="0.2">
      <c r="A532" s="14">
        <v>532</v>
      </c>
      <c r="C532" s="58"/>
      <c r="D532" s="91">
        <v>1</v>
      </c>
      <c r="E532" s="91">
        <f t="shared" ref="E532:I535" si="234">D532+1</f>
        <v>2</v>
      </c>
      <c r="F532" s="91">
        <f t="shared" si="234"/>
        <v>3</v>
      </c>
      <c r="G532" s="91">
        <f t="shared" si="234"/>
        <v>4</v>
      </c>
      <c r="H532" s="91">
        <f t="shared" si="234"/>
        <v>5</v>
      </c>
      <c r="I532" s="92">
        <f t="shared" si="234"/>
        <v>6</v>
      </c>
      <c r="K532" s="122">
        <v>14</v>
      </c>
      <c r="L532" s="94"/>
      <c r="M532" s="123"/>
      <c r="N532" s="4"/>
      <c r="O532" s="58"/>
      <c r="P532" s="97"/>
      <c r="Q532" s="125"/>
      <c r="R532" s="125">
        <v>1</v>
      </c>
      <c r="S532" s="125">
        <f t="shared" ref="S532:U535" si="235">R532+1</f>
        <v>2</v>
      </c>
      <c r="T532" s="125">
        <f t="shared" si="235"/>
        <v>3</v>
      </c>
      <c r="U532" s="407">
        <f t="shared" si="235"/>
        <v>4</v>
      </c>
      <c r="W532" s="100">
        <v>18</v>
      </c>
      <c r="X532" s="94"/>
      <c r="Y532" s="49"/>
      <c r="Z532" s="4"/>
      <c r="AA532" s="101"/>
      <c r="AB532" s="125" t="s">
        <v>185</v>
      </c>
      <c r="AC532" s="125" t="s">
        <v>185</v>
      </c>
      <c r="AD532" s="125" t="s">
        <v>185</v>
      </c>
      <c r="AE532" s="125" t="s">
        <v>185</v>
      </c>
      <c r="AF532" s="125" t="s">
        <v>185</v>
      </c>
      <c r="AG532" s="92">
        <v>1</v>
      </c>
      <c r="AI532" s="100">
        <v>22</v>
      </c>
      <c r="AJ532" s="94"/>
      <c r="AK532" s="123"/>
    </row>
    <row r="533" spans="1:37" x14ac:dyDescent="0.2">
      <c r="A533" s="14">
        <v>533</v>
      </c>
      <c r="C533" s="101">
        <f>I532+1</f>
        <v>7</v>
      </c>
      <c r="D533" s="91">
        <f>C533+1</f>
        <v>8</v>
      </c>
      <c r="E533" s="91">
        <f t="shared" si="234"/>
        <v>9</v>
      </c>
      <c r="F533" s="91">
        <f t="shared" si="234"/>
        <v>10</v>
      </c>
      <c r="G533" s="124">
        <f t="shared" si="234"/>
        <v>11</v>
      </c>
      <c r="H533" s="124">
        <f t="shared" si="234"/>
        <v>12</v>
      </c>
      <c r="I533" s="92">
        <f t="shared" si="234"/>
        <v>13</v>
      </c>
      <c r="K533" s="122">
        <v>15</v>
      </c>
      <c r="L533" s="103" t="s">
        <v>418</v>
      </c>
      <c r="M533" s="126">
        <v>4</v>
      </c>
      <c r="N533" s="4"/>
      <c r="O533" s="406">
        <f>U532+1</f>
        <v>5</v>
      </c>
      <c r="P533" s="125">
        <f t="shared" ref="P533:R536" si="236">O533+1</f>
        <v>6</v>
      </c>
      <c r="Q533" s="125">
        <f t="shared" si="236"/>
        <v>7</v>
      </c>
      <c r="R533" s="125">
        <f t="shared" si="236"/>
        <v>8</v>
      </c>
      <c r="S533" s="125">
        <f t="shared" si="235"/>
        <v>9</v>
      </c>
      <c r="T533" s="125">
        <f t="shared" si="235"/>
        <v>10</v>
      </c>
      <c r="U533" s="92">
        <f t="shared" si="235"/>
        <v>11</v>
      </c>
      <c r="W533" s="100">
        <v>19</v>
      </c>
      <c r="X533" s="103" t="s">
        <v>418</v>
      </c>
      <c r="Y533" s="106">
        <v>4</v>
      </c>
      <c r="Z533" s="4"/>
      <c r="AA533" s="101">
        <f>AG532+1</f>
        <v>2</v>
      </c>
      <c r="AB533" s="125">
        <f t="shared" ref="AB533:AG534" si="237">AA533+1</f>
        <v>3</v>
      </c>
      <c r="AC533" s="125">
        <f t="shared" si="237"/>
        <v>4</v>
      </c>
      <c r="AD533" s="125">
        <f t="shared" si="237"/>
        <v>5</v>
      </c>
      <c r="AE533" s="125">
        <f t="shared" si="237"/>
        <v>6</v>
      </c>
      <c r="AF533" s="125">
        <f t="shared" si="237"/>
        <v>7</v>
      </c>
      <c r="AG533" s="92">
        <f t="shared" si="237"/>
        <v>8</v>
      </c>
      <c r="AI533" s="100">
        <v>23</v>
      </c>
      <c r="AJ533" s="103" t="s">
        <v>418</v>
      </c>
      <c r="AK533" s="106">
        <v>5</v>
      </c>
    </row>
    <row r="534" spans="1:37" x14ac:dyDescent="0.2">
      <c r="A534" s="14">
        <v>534</v>
      </c>
      <c r="C534" s="101">
        <f>I533+1</f>
        <v>14</v>
      </c>
      <c r="D534" s="91">
        <f>C534+1</f>
        <v>15</v>
      </c>
      <c r="E534" s="91">
        <f t="shared" si="234"/>
        <v>16</v>
      </c>
      <c r="F534" s="91">
        <f t="shared" si="234"/>
        <v>17</v>
      </c>
      <c r="G534" s="91">
        <f t="shared" si="234"/>
        <v>18</v>
      </c>
      <c r="H534" s="91">
        <f t="shared" si="234"/>
        <v>19</v>
      </c>
      <c r="I534" s="92">
        <f t="shared" si="234"/>
        <v>20</v>
      </c>
      <c r="K534" s="122">
        <v>16</v>
      </c>
      <c r="L534" s="103" t="s">
        <v>425</v>
      </c>
      <c r="M534" s="126">
        <v>4</v>
      </c>
      <c r="N534" s="4"/>
      <c r="O534" s="101">
        <f>U533+1</f>
        <v>12</v>
      </c>
      <c r="P534" s="125">
        <f t="shared" si="236"/>
        <v>13</v>
      </c>
      <c r="Q534" s="125">
        <f t="shared" si="236"/>
        <v>14</v>
      </c>
      <c r="R534" s="125">
        <f t="shared" si="236"/>
        <v>15</v>
      </c>
      <c r="S534" s="125">
        <f t="shared" si="235"/>
        <v>16</v>
      </c>
      <c r="T534" s="125">
        <f t="shared" si="235"/>
        <v>17</v>
      </c>
      <c r="U534" s="92">
        <f t="shared" si="235"/>
        <v>18</v>
      </c>
      <c r="W534" s="100">
        <v>20</v>
      </c>
      <c r="X534" s="103" t="s">
        <v>425</v>
      </c>
      <c r="Y534" s="106">
        <v>4</v>
      </c>
      <c r="Z534" s="4"/>
      <c r="AA534" s="101">
        <f>AG533+1</f>
        <v>9</v>
      </c>
      <c r="AB534" s="125">
        <f t="shared" si="237"/>
        <v>10</v>
      </c>
      <c r="AC534" s="97">
        <f t="shared" si="237"/>
        <v>11</v>
      </c>
      <c r="AD534" s="130">
        <f t="shared" si="237"/>
        <v>12</v>
      </c>
      <c r="AE534" s="130">
        <f t="shared" si="237"/>
        <v>13</v>
      </c>
      <c r="AF534" s="97">
        <f t="shared" si="237"/>
        <v>14</v>
      </c>
      <c r="AG534" s="92">
        <f t="shared" si="237"/>
        <v>15</v>
      </c>
      <c r="AI534" s="100">
        <v>24</v>
      </c>
      <c r="AJ534" s="103" t="s">
        <v>425</v>
      </c>
      <c r="AK534" s="106">
        <v>5</v>
      </c>
    </row>
    <row r="535" spans="1:37" x14ac:dyDescent="0.2">
      <c r="A535" s="14">
        <v>535</v>
      </c>
      <c r="C535" s="101">
        <f>I534+1</f>
        <v>21</v>
      </c>
      <c r="D535" s="131">
        <f>C535+1</f>
        <v>22</v>
      </c>
      <c r="E535" s="97">
        <f t="shared" si="234"/>
        <v>23</v>
      </c>
      <c r="F535" s="97">
        <f t="shared" si="234"/>
        <v>24</v>
      </c>
      <c r="G535" s="91">
        <f t="shared" si="234"/>
        <v>25</v>
      </c>
      <c r="H535" s="91">
        <f t="shared" si="234"/>
        <v>26</v>
      </c>
      <c r="I535" s="92">
        <f t="shared" si="234"/>
        <v>27</v>
      </c>
      <c r="K535" s="122">
        <v>17</v>
      </c>
      <c r="L535" s="103" t="s">
        <v>878</v>
      </c>
      <c r="M535" s="126">
        <v>30</v>
      </c>
      <c r="N535" s="4"/>
      <c r="O535" s="101">
        <f>U534+1</f>
        <v>19</v>
      </c>
      <c r="P535" s="125">
        <f t="shared" si="236"/>
        <v>20</v>
      </c>
      <c r="Q535" s="125">
        <f t="shared" si="236"/>
        <v>21</v>
      </c>
      <c r="R535" s="125">
        <f t="shared" si="236"/>
        <v>22</v>
      </c>
      <c r="S535" s="125">
        <f t="shared" si="235"/>
        <v>23</v>
      </c>
      <c r="T535" s="125">
        <f t="shared" si="235"/>
        <v>24</v>
      </c>
      <c r="U535" s="92">
        <f t="shared" si="235"/>
        <v>25</v>
      </c>
      <c r="W535" s="100">
        <v>21</v>
      </c>
      <c r="X535" s="103" t="s">
        <v>878</v>
      </c>
      <c r="Y535" s="106">
        <v>31</v>
      </c>
      <c r="Z535" s="4"/>
      <c r="AA535" s="101">
        <f>AG534+1</f>
        <v>16</v>
      </c>
      <c r="AB535" s="125">
        <f>AA535+1</f>
        <v>17</v>
      </c>
      <c r="AC535" s="130">
        <f>AB535+1</f>
        <v>18</v>
      </c>
      <c r="AD535" s="125">
        <f t="shared" ref="AD535:AG536" si="238">AC535+1</f>
        <v>19</v>
      </c>
      <c r="AE535" s="125">
        <f t="shared" si="238"/>
        <v>20</v>
      </c>
      <c r="AF535" s="125">
        <f t="shared" si="238"/>
        <v>21</v>
      </c>
      <c r="AG535" s="92">
        <f t="shared" si="238"/>
        <v>22</v>
      </c>
      <c r="AI535" s="100">
        <v>25</v>
      </c>
      <c r="AJ535" s="103" t="s">
        <v>878</v>
      </c>
      <c r="AK535" s="106">
        <v>30</v>
      </c>
    </row>
    <row r="536" spans="1:37" x14ac:dyDescent="0.2">
      <c r="A536" s="14">
        <v>536</v>
      </c>
      <c r="C536" s="101">
        <f>I535+1</f>
        <v>28</v>
      </c>
      <c r="D536" s="91">
        <f>C536+1</f>
        <v>29</v>
      </c>
      <c r="E536" s="91">
        <f>D536+1</f>
        <v>30</v>
      </c>
      <c r="F536" s="91"/>
      <c r="G536" s="91"/>
      <c r="H536" s="91"/>
      <c r="I536" s="92"/>
      <c r="K536" s="122">
        <v>18</v>
      </c>
      <c r="L536" s="111"/>
      <c r="M536" s="127"/>
      <c r="N536" s="4"/>
      <c r="O536" s="101">
        <f>U535+1</f>
        <v>26</v>
      </c>
      <c r="P536" s="125">
        <f t="shared" si="236"/>
        <v>27</v>
      </c>
      <c r="Q536" s="125">
        <f t="shared" si="236"/>
        <v>28</v>
      </c>
      <c r="R536" s="125">
        <f t="shared" si="236"/>
        <v>29</v>
      </c>
      <c r="S536" s="125">
        <f>R536+1</f>
        <v>30</v>
      </c>
      <c r="T536" s="125">
        <f>S536+1</f>
        <v>31</v>
      </c>
      <c r="U536" s="92"/>
      <c r="W536" s="100">
        <v>22</v>
      </c>
      <c r="X536" s="111"/>
      <c r="Y536" s="128"/>
      <c r="Z536" s="4"/>
      <c r="AA536" s="101">
        <f>AG535+1</f>
        <v>23</v>
      </c>
      <c r="AB536" s="125">
        <f>AA536+1</f>
        <v>24</v>
      </c>
      <c r="AC536" s="125">
        <f>AB536+1</f>
        <v>25</v>
      </c>
      <c r="AD536" s="125">
        <f t="shared" si="238"/>
        <v>26</v>
      </c>
      <c r="AE536" s="125">
        <f t="shared" si="238"/>
        <v>27</v>
      </c>
      <c r="AF536" s="125">
        <f t="shared" si="238"/>
        <v>28</v>
      </c>
      <c r="AG536" s="92">
        <f t="shared" si="238"/>
        <v>29</v>
      </c>
      <c r="AI536" s="100">
        <v>26</v>
      </c>
      <c r="AJ536" s="111"/>
      <c r="AK536" s="112"/>
    </row>
    <row r="537" spans="1:37" x14ac:dyDescent="0.2">
      <c r="A537" s="14">
        <v>537</v>
      </c>
      <c r="C537" s="101"/>
      <c r="D537" s="91"/>
      <c r="E537" s="113"/>
      <c r="F537" s="113"/>
      <c r="G537" s="113"/>
      <c r="H537" s="113"/>
      <c r="I537" s="114"/>
      <c r="K537" s="122"/>
      <c r="L537" s="111"/>
      <c r="M537" s="121"/>
      <c r="N537" s="4"/>
      <c r="O537" s="101"/>
      <c r="P537" s="125"/>
      <c r="Q537" s="401"/>
      <c r="R537" s="401"/>
      <c r="S537" s="401"/>
      <c r="T537" s="129"/>
      <c r="U537" s="114"/>
      <c r="W537" s="100"/>
      <c r="X537" s="111"/>
      <c r="Y537" s="4"/>
      <c r="Z537" s="4"/>
      <c r="AA537" s="101">
        <f>AG536+1</f>
        <v>30</v>
      </c>
      <c r="AB537" s="125"/>
      <c r="AC537" s="125"/>
      <c r="AD537" s="129"/>
      <c r="AE537" s="129"/>
      <c r="AF537" s="129"/>
      <c r="AG537" s="114"/>
      <c r="AI537" s="100">
        <v>27</v>
      </c>
      <c r="AJ537" s="111"/>
      <c r="AK537" s="4"/>
    </row>
    <row r="538" spans="1:37" x14ac:dyDescent="0.2">
      <c r="A538" s="14">
        <v>538</v>
      </c>
      <c r="C538" s="88"/>
      <c r="D538" s="88"/>
      <c r="E538" s="88"/>
      <c r="F538" s="88"/>
      <c r="G538" s="88"/>
      <c r="H538" s="88"/>
      <c r="I538" s="88"/>
      <c r="K538" s="117"/>
      <c r="L538" s="111"/>
      <c r="M538" s="121"/>
      <c r="N538" s="4"/>
      <c r="O538" s="88"/>
      <c r="P538" s="88"/>
      <c r="Q538" s="88"/>
      <c r="R538" s="88"/>
      <c r="S538" s="88"/>
      <c r="T538" s="88"/>
      <c r="U538" s="88"/>
      <c r="W538" s="119"/>
      <c r="X538" s="111"/>
      <c r="Y538" s="4"/>
      <c r="Z538" s="4"/>
      <c r="AA538" s="4"/>
      <c r="AB538" s="4"/>
      <c r="AC538" s="4"/>
      <c r="AD538" s="4"/>
      <c r="AE538" s="4"/>
      <c r="AF538" s="4"/>
      <c r="AG538" s="4"/>
      <c r="AI538" s="120"/>
      <c r="AJ538" s="111"/>
      <c r="AK538" s="4"/>
    </row>
    <row r="539" spans="1:37" x14ac:dyDescent="0.2">
      <c r="A539" s="14">
        <v>539</v>
      </c>
      <c r="C539" s="404" t="s">
        <v>1046</v>
      </c>
      <c r="D539" s="88"/>
      <c r="E539" s="88"/>
      <c r="F539" s="88"/>
      <c r="G539" s="88"/>
      <c r="H539" s="88"/>
      <c r="I539" s="88"/>
      <c r="K539" s="117"/>
      <c r="L539" s="111"/>
      <c r="M539" s="121"/>
      <c r="N539" s="4"/>
      <c r="O539" s="404" t="s">
        <v>1047</v>
      </c>
      <c r="P539" s="88"/>
      <c r="Q539" s="88"/>
      <c r="R539" s="88"/>
      <c r="S539" s="88"/>
      <c r="T539" s="88"/>
      <c r="U539" s="88"/>
      <c r="W539" s="119"/>
      <c r="X539" s="111"/>
      <c r="Y539" s="4"/>
      <c r="Z539" s="4"/>
      <c r="AA539" s="404" t="s">
        <v>1048</v>
      </c>
      <c r="AB539" s="88"/>
      <c r="AC539" s="88"/>
      <c r="AD539" s="88"/>
      <c r="AE539" s="88"/>
      <c r="AF539" s="88"/>
      <c r="AG539" s="88"/>
      <c r="AI539" s="120"/>
      <c r="AJ539" s="111"/>
      <c r="AK539" s="4"/>
    </row>
    <row r="540" spans="1:37" x14ac:dyDescent="0.2">
      <c r="A540" s="14">
        <v>540</v>
      </c>
      <c r="C540" s="55" t="s">
        <v>3</v>
      </c>
      <c r="D540" s="55" t="s">
        <v>177</v>
      </c>
      <c r="E540" s="55" t="s">
        <v>178</v>
      </c>
      <c r="F540" s="55" t="s">
        <v>178</v>
      </c>
      <c r="G540" s="55" t="s">
        <v>9</v>
      </c>
      <c r="H540" s="55" t="s">
        <v>857</v>
      </c>
      <c r="I540" s="55" t="s">
        <v>854</v>
      </c>
      <c r="K540" s="56" t="s">
        <v>877</v>
      </c>
      <c r="L540" s="111"/>
      <c r="M540" s="121"/>
      <c r="N540" s="4"/>
      <c r="O540" s="55" t="s">
        <v>3</v>
      </c>
      <c r="P540" s="55" t="s">
        <v>177</v>
      </c>
      <c r="Q540" s="55" t="s">
        <v>178</v>
      </c>
      <c r="R540" s="55" t="s">
        <v>178</v>
      </c>
      <c r="S540" s="55" t="s">
        <v>9</v>
      </c>
      <c r="T540" s="55" t="s">
        <v>857</v>
      </c>
      <c r="U540" s="55" t="s">
        <v>854</v>
      </c>
      <c r="W540" s="56" t="s">
        <v>877</v>
      </c>
      <c r="X540" s="111"/>
      <c r="Y540" s="4"/>
      <c r="Z540" s="4"/>
      <c r="AA540" s="55" t="s">
        <v>3</v>
      </c>
      <c r="AB540" s="55" t="s">
        <v>177</v>
      </c>
      <c r="AC540" s="55" t="s">
        <v>178</v>
      </c>
      <c r="AD540" s="55" t="s">
        <v>178</v>
      </c>
      <c r="AE540" s="55" t="s">
        <v>9</v>
      </c>
      <c r="AF540" s="55" t="s">
        <v>857</v>
      </c>
      <c r="AG540" s="55" t="s">
        <v>854</v>
      </c>
      <c r="AI540" s="56" t="s">
        <v>877</v>
      </c>
      <c r="AJ540" s="111"/>
      <c r="AK540" s="4"/>
    </row>
    <row r="541" spans="1:37" x14ac:dyDescent="0.2">
      <c r="A541" s="14">
        <v>541</v>
      </c>
      <c r="C541" s="58"/>
      <c r="D541" s="408">
        <v>1</v>
      </c>
      <c r="E541" s="97">
        <f t="shared" ref="E541:I544" si="239">D541+1</f>
        <v>2</v>
      </c>
      <c r="F541" s="97">
        <f t="shared" si="239"/>
        <v>3</v>
      </c>
      <c r="G541" s="97">
        <f t="shared" si="239"/>
        <v>4</v>
      </c>
      <c r="H541" s="125">
        <f t="shared" si="239"/>
        <v>5</v>
      </c>
      <c r="I541" s="407">
        <f t="shared" si="239"/>
        <v>6</v>
      </c>
      <c r="K541" s="122">
        <v>27</v>
      </c>
      <c r="L541" s="94"/>
      <c r="M541" s="123"/>
      <c r="N541" s="4"/>
      <c r="O541" s="101"/>
      <c r="P541" s="125"/>
      <c r="Q541" s="125"/>
      <c r="R541" s="125"/>
      <c r="S541" s="125">
        <v>1</v>
      </c>
      <c r="T541" s="125">
        <f t="shared" ref="T541:U545" si="240">S541+1</f>
        <v>2</v>
      </c>
      <c r="U541" s="92">
        <f t="shared" si="240"/>
        <v>3</v>
      </c>
      <c r="W541" s="100">
        <v>31</v>
      </c>
      <c r="X541" s="94"/>
      <c r="Y541" s="49"/>
      <c r="Z541" s="4"/>
      <c r="AA541" s="414">
        <v>1</v>
      </c>
      <c r="AB541" s="125">
        <f t="shared" ref="AB541:AD544" si="241">AA541+1</f>
        <v>2</v>
      </c>
      <c r="AC541" s="125">
        <f t="shared" si="241"/>
        <v>3</v>
      </c>
      <c r="AD541" s="125">
        <f t="shared" si="241"/>
        <v>4</v>
      </c>
      <c r="AE541" s="125">
        <f t="shared" ref="AE541:AG544" si="242">AD541+1</f>
        <v>5</v>
      </c>
      <c r="AF541" s="125">
        <f t="shared" si="242"/>
        <v>6</v>
      </c>
      <c r="AG541" s="92">
        <f t="shared" si="242"/>
        <v>7</v>
      </c>
      <c r="AI541" s="100">
        <v>36</v>
      </c>
      <c r="AJ541" s="94"/>
      <c r="AK541" s="49"/>
    </row>
    <row r="542" spans="1:37" x14ac:dyDescent="0.2">
      <c r="A542" s="14">
        <v>542</v>
      </c>
      <c r="C542" s="101">
        <f>I541+1</f>
        <v>7</v>
      </c>
      <c r="D542" s="130">
        <f>C542+1</f>
        <v>8</v>
      </c>
      <c r="E542" s="97">
        <f t="shared" si="239"/>
        <v>9</v>
      </c>
      <c r="F542" s="97">
        <f t="shared" si="239"/>
        <v>10</v>
      </c>
      <c r="G542" s="125">
        <f t="shared" si="239"/>
        <v>11</v>
      </c>
      <c r="H542" s="125">
        <f t="shared" si="239"/>
        <v>12</v>
      </c>
      <c r="I542" s="92">
        <f t="shared" si="239"/>
        <v>13</v>
      </c>
      <c r="K542" s="122">
        <v>28</v>
      </c>
      <c r="L542" s="103" t="s">
        <v>418</v>
      </c>
      <c r="M542" s="126">
        <v>4</v>
      </c>
      <c r="N542" s="4"/>
      <c r="O542" s="101">
        <f>U541+1</f>
        <v>4</v>
      </c>
      <c r="P542" s="125">
        <f t="shared" ref="P542:S545" si="243">O542+1</f>
        <v>5</v>
      </c>
      <c r="Q542" s="125">
        <f t="shared" si="243"/>
        <v>6</v>
      </c>
      <c r="R542" s="125">
        <f t="shared" si="243"/>
        <v>7</v>
      </c>
      <c r="S542" s="125">
        <f t="shared" si="243"/>
        <v>8</v>
      </c>
      <c r="T542" s="125">
        <f t="shared" si="240"/>
        <v>9</v>
      </c>
      <c r="U542" s="92">
        <f t="shared" si="240"/>
        <v>10</v>
      </c>
      <c r="W542" s="100">
        <v>32</v>
      </c>
      <c r="X542" s="103" t="s">
        <v>418</v>
      </c>
      <c r="Y542" s="106">
        <v>4</v>
      </c>
      <c r="Z542" s="4"/>
      <c r="AA542" s="101">
        <f>AG541+1</f>
        <v>8</v>
      </c>
      <c r="AB542" s="125">
        <f t="shared" ref="AB542:AC544" si="244">AA542+1</f>
        <v>9</v>
      </c>
      <c r="AC542" s="125">
        <f t="shared" si="244"/>
        <v>10</v>
      </c>
      <c r="AD542" s="125">
        <f t="shared" si="241"/>
        <v>11</v>
      </c>
      <c r="AE542" s="125">
        <f t="shared" si="242"/>
        <v>12</v>
      </c>
      <c r="AF542" s="125">
        <f t="shared" si="242"/>
        <v>13</v>
      </c>
      <c r="AG542" s="92">
        <f t="shared" si="242"/>
        <v>14</v>
      </c>
      <c r="AI542" s="100">
        <v>37</v>
      </c>
      <c r="AJ542" s="103" t="s">
        <v>418</v>
      </c>
      <c r="AK542" s="106">
        <v>5</v>
      </c>
    </row>
    <row r="543" spans="1:37" x14ac:dyDescent="0.2">
      <c r="A543" s="14">
        <v>543</v>
      </c>
      <c r="C543" s="101">
        <f>I542+1</f>
        <v>14</v>
      </c>
      <c r="D543" s="125">
        <f>C543+1</f>
        <v>15</v>
      </c>
      <c r="E543" s="125">
        <f t="shared" si="239"/>
        <v>16</v>
      </c>
      <c r="F543" s="125">
        <f t="shared" si="239"/>
        <v>17</v>
      </c>
      <c r="G543" s="125">
        <f t="shared" si="239"/>
        <v>18</v>
      </c>
      <c r="H543" s="125">
        <f t="shared" si="239"/>
        <v>19</v>
      </c>
      <c r="I543" s="92">
        <f t="shared" si="239"/>
        <v>20</v>
      </c>
      <c r="K543" s="122">
        <v>29</v>
      </c>
      <c r="L543" s="103" t="s">
        <v>425</v>
      </c>
      <c r="M543" s="126">
        <v>4</v>
      </c>
      <c r="N543" s="4"/>
      <c r="O543" s="101">
        <f>U542+1</f>
        <v>11</v>
      </c>
      <c r="P543" s="125">
        <f t="shared" si="243"/>
        <v>12</v>
      </c>
      <c r="Q543" s="125">
        <f t="shared" si="243"/>
        <v>13</v>
      </c>
      <c r="R543" s="125">
        <f t="shared" si="243"/>
        <v>14</v>
      </c>
      <c r="S543" s="125">
        <f t="shared" si="243"/>
        <v>15</v>
      </c>
      <c r="T543" s="125">
        <f t="shared" si="240"/>
        <v>16</v>
      </c>
      <c r="U543" s="92">
        <f t="shared" si="240"/>
        <v>17</v>
      </c>
      <c r="W543" s="100">
        <v>33</v>
      </c>
      <c r="X543" s="103" t="s">
        <v>425</v>
      </c>
      <c r="Y543" s="106">
        <v>5</v>
      </c>
      <c r="Z543" s="4"/>
      <c r="AA543" s="101">
        <f>AG542+1</f>
        <v>15</v>
      </c>
      <c r="AB543" s="125">
        <f t="shared" si="244"/>
        <v>16</v>
      </c>
      <c r="AC543" s="125">
        <f t="shared" si="244"/>
        <v>17</v>
      </c>
      <c r="AD543" s="125">
        <f t="shared" si="241"/>
        <v>18</v>
      </c>
      <c r="AE543" s="125">
        <f t="shared" si="242"/>
        <v>19</v>
      </c>
      <c r="AF543" s="125">
        <f t="shared" si="242"/>
        <v>20</v>
      </c>
      <c r="AG543" s="92">
        <f t="shared" si="242"/>
        <v>21</v>
      </c>
      <c r="AI543" s="100">
        <v>38</v>
      </c>
      <c r="AJ543" s="103" t="s">
        <v>425</v>
      </c>
      <c r="AK543" s="106">
        <v>4</v>
      </c>
    </row>
    <row r="544" spans="1:37" x14ac:dyDescent="0.2">
      <c r="A544" s="14">
        <v>544</v>
      </c>
      <c r="C544" s="101">
        <f>I543+1</f>
        <v>21</v>
      </c>
      <c r="D544" s="125">
        <f>C544+1</f>
        <v>22</v>
      </c>
      <c r="E544" s="125">
        <f t="shared" si="239"/>
        <v>23</v>
      </c>
      <c r="F544" s="125">
        <f t="shared" si="239"/>
        <v>24</v>
      </c>
      <c r="G544" s="134">
        <f t="shared" si="239"/>
        <v>25</v>
      </c>
      <c r="H544" s="124">
        <f t="shared" si="239"/>
        <v>26</v>
      </c>
      <c r="I544" s="92">
        <f t="shared" si="239"/>
        <v>27</v>
      </c>
      <c r="K544" s="122">
        <v>30</v>
      </c>
      <c r="L544" s="103" t="s">
        <v>878</v>
      </c>
      <c r="M544" s="126">
        <v>31</v>
      </c>
      <c r="N544" s="4"/>
      <c r="O544" s="101">
        <f>U543+1</f>
        <v>18</v>
      </c>
      <c r="P544" s="125">
        <f t="shared" si="243"/>
        <v>19</v>
      </c>
      <c r="Q544" s="125">
        <f t="shared" si="243"/>
        <v>20</v>
      </c>
      <c r="R544" s="125">
        <f t="shared" si="243"/>
        <v>21</v>
      </c>
      <c r="S544" s="125">
        <f t="shared" si="243"/>
        <v>22</v>
      </c>
      <c r="T544" s="125">
        <f t="shared" si="240"/>
        <v>23</v>
      </c>
      <c r="U544" s="92">
        <f t="shared" si="240"/>
        <v>24</v>
      </c>
      <c r="W544" s="100">
        <v>34</v>
      </c>
      <c r="X544" s="103" t="s">
        <v>878</v>
      </c>
      <c r="Y544" s="106">
        <v>31</v>
      </c>
      <c r="Z544" s="4"/>
      <c r="AA544" s="101">
        <f>AG543+1</f>
        <v>22</v>
      </c>
      <c r="AB544" s="125">
        <f t="shared" si="244"/>
        <v>23</v>
      </c>
      <c r="AC544" s="125">
        <f t="shared" si="244"/>
        <v>24</v>
      </c>
      <c r="AD544" s="125">
        <f t="shared" si="241"/>
        <v>25</v>
      </c>
      <c r="AE544" s="125">
        <f t="shared" si="242"/>
        <v>26</v>
      </c>
      <c r="AF544" s="125">
        <f t="shared" si="242"/>
        <v>27</v>
      </c>
      <c r="AG544" s="92">
        <f t="shared" si="242"/>
        <v>28</v>
      </c>
      <c r="AI544" s="100">
        <v>39</v>
      </c>
      <c r="AJ544" s="103" t="s">
        <v>878</v>
      </c>
      <c r="AK544" s="106">
        <v>30</v>
      </c>
    </row>
    <row r="545" spans="1:37" x14ac:dyDescent="0.2">
      <c r="A545" s="14">
        <v>545</v>
      </c>
      <c r="C545" s="101">
        <f>I544+1</f>
        <v>28</v>
      </c>
      <c r="D545" s="134">
        <f>C545+1</f>
        <v>29</v>
      </c>
      <c r="E545" s="125">
        <f>D545+1</f>
        <v>30</v>
      </c>
      <c r="F545" s="125">
        <f>E545+1</f>
        <v>31</v>
      </c>
      <c r="G545" s="125"/>
      <c r="H545" s="125"/>
      <c r="I545" s="92"/>
      <c r="K545" s="122">
        <v>31</v>
      </c>
      <c r="L545" s="111"/>
      <c r="M545" s="127"/>
      <c r="N545" s="4"/>
      <c r="O545" s="101">
        <f>U544+1</f>
        <v>25</v>
      </c>
      <c r="P545" s="125">
        <f t="shared" si="243"/>
        <v>26</v>
      </c>
      <c r="Q545" s="125">
        <f t="shared" si="243"/>
        <v>27</v>
      </c>
      <c r="R545" s="125">
        <f t="shared" si="243"/>
        <v>28</v>
      </c>
      <c r="S545" s="125">
        <f t="shared" si="243"/>
        <v>29</v>
      </c>
      <c r="T545" s="125">
        <f t="shared" si="240"/>
        <v>30</v>
      </c>
      <c r="U545" s="92">
        <f t="shared" si="240"/>
        <v>31</v>
      </c>
      <c r="W545" s="100">
        <v>35</v>
      </c>
      <c r="X545" s="111"/>
      <c r="Y545" s="112"/>
      <c r="Z545" s="4"/>
      <c r="AA545" s="101">
        <f>AG544+1</f>
        <v>29</v>
      </c>
      <c r="AB545" s="125">
        <f>AA545+1</f>
        <v>30</v>
      </c>
      <c r="AC545" s="125"/>
      <c r="AD545" s="415"/>
      <c r="AE545" s="129"/>
      <c r="AF545" s="129"/>
      <c r="AG545" s="114"/>
      <c r="AI545" s="413">
        <v>40</v>
      </c>
      <c r="AJ545" s="111"/>
      <c r="AK545" s="112"/>
    </row>
    <row r="546" spans="1:37" x14ac:dyDescent="0.2">
      <c r="A546" s="14">
        <v>546</v>
      </c>
      <c r="C546" s="101"/>
      <c r="D546" s="125"/>
      <c r="E546" s="401"/>
      <c r="F546" s="129"/>
      <c r="G546" s="129"/>
      <c r="H546" s="129"/>
      <c r="I546" s="114"/>
      <c r="K546" s="122"/>
      <c r="L546" s="111"/>
      <c r="M546" s="121"/>
      <c r="N546" s="4"/>
      <c r="O546" s="101"/>
      <c r="P546" s="125"/>
      <c r="Q546" s="125"/>
      <c r="R546" s="125"/>
      <c r="S546" s="125"/>
      <c r="T546" s="125"/>
      <c r="U546" s="92"/>
      <c r="W546" s="100"/>
      <c r="X546" s="111"/>
      <c r="Y546" s="4"/>
      <c r="Z546" s="4"/>
      <c r="AA546" s="101"/>
      <c r="AB546" s="125"/>
      <c r="AC546" s="125"/>
      <c r="AD546" s="129"/>
      <c r="AE546" s="129"/>
      <c r="AF546" s="129"/>
      <c r="AG546" s="114"/>
      <c r="AI546" s="413"/>
      <c r="AJ546" s="111"/>
      <c r="AK546" s="4"/>
    </row>
    <row r="547" spans="1:37" x14ac:dyDescent="0.2">
      <c r="A547" s="14">
        <v>547</v>
      </c>
      <c r="C547" s="88"/>
      <c r="D547" s="88"/>
      <c r="E547" s="88"/>
      <c r="F547" s="88"/>
      <c r="G547" s="88"/>
      <c r="H547" s="88"/>
      <c r="I547" s="88"/>
      <c r="K547" s="117"/>
      <c r="L547" s="111"/>
      <c r="M547" s="121"/>
      <c r="N547" s="4"/>
      <c r="O547" s="88"/>
      <c r="P547" s="88"/>
      <c r="Q547" s="88"/>
      <c r="R547" s="88"/>
      <c r="S547" s="88"/>
      <c r="T547" s="88"/>
      <c r="U547" s="88"/>
      <c r="W547" s="119"/>
      <c r="X547" s="111"/>
      <c r="Y547" s="4"/>
      <c r="Z547" s="4"/>
      <c r="AA547" s="4"/>
      <c r="AB547" s="4"/>
      <c r="AC547" s="4"/>
      <c r="AD547" s="4"/>
      <c r="AE547" s="4"/>
      <c r="AF547" s="4"/>
      <c r="AG547" s="4"/>
      <c r="AI547" s="120"/>
      <c r="AJ547" s="111"/>
      <c r="AK547" s="4"/>
    </row>
    <row r="548" spans="1:37" x14ac:dyDescent="0.2">
      <c r="A548" s="14">
        <v>548</v>
      </c>
      <c r="C548" s="404" t="s">
        <v>1049</v>
      </c>
      <c r="D548" s="88"/>
      <c r="E548" s="88"/>
      <c r="F548" s="88"/>
      <c r="G548" s="88"/>
      <c r="H548" s="88"/>
      <c r="I548" s="88"/>
      <c r="K548" s="117"/>
      <c r="L548" s="111"/>
      <c r="M548" s="121"/>
      <c r="N548" s="4"/>
      <c r="O548" s="404" t="s">
        <v>1050</v>
      </c>
      <c r="P548" s="88"/>
      <c r="Q548" s="88"/>
      <c r="R548" s="88"/>
      <c r="S548" s="88"/>
      <c r="T548" s="88"/>
      <c r="U548" s="88"/>
      <c r="W548" s="119"/>
      <c r="X548" s="111"/>
      <c r="Y548" s="4"/>
      <c r="Z548" s="4"/>
      <c r="AA548" s="404" t="s">
        <v>1051</v>
      </c>
      <c r="AB548" s="88"/>
      <c r="AC548" s="88"/>
      <c r="AD548" s="88"/>
      <c r="AE548" s="88"/>
      <c r="AF548" s="88"/>
      <c r="AG548" s="88"/>
      <c r="AI548" s="120"/>
      <c r="AJ548" s="111"/>
      <c r="AK548" s="4"/>
    </row>
    <row r="549" spans="1:37" x14ac:dyDescent="0.2">
      <c r="A549" s="14">
        <v>549</v>
      </c>
      <c r="C549" s="55" t="s">
        <v>3</v>
      </c>
      <c r="D549" s="55" t="s">
        <v>177</v>
      </c>
      <c r="E549" s="55" t="s">
        <v>178</v>
      </c>
      <c r="F549" s="55" t="s">
        <v>178</v>
      </c>
      <c r="G549" s="55" t="s">
        <v>9</v>
      </c>
      <c r="H549" s="55" t="s">
        <v>857</v>
      </c>
      <c r="I549" s="55" t="s">
        <v>854</v>
      </c>
      <c r="K549" s="56" t="s">
        <v>877</v>
      </c>
      <c r="L549" s="111"/>
      <c r="M549" s="121"/>
      <c r="N549" s="4"/>
      <c r="O549" s="55" t="s">
        <v>3</v>
      </c>
      <c r="P549" s="55" t="s">
        <v>177</v>
      </c>
      <c r="Q549" s="55" t="s">
        <v>178</v>
      </c>
      <c r="R549" s="55" t="s">
        <v>178</v>
      </c>
      <c r="S549" s="55" t="s">
        <v>9</v>
      </c>
      <c r="T549" s="55" t="s">
        <v>857</v>
      </c>
      <c r="U549" s="55" t="s">
        <v>854</v>
      </c>
      <c r="W549" s="56" t="s">
        <v>877</v>
      </c>
      <c r="X549" s="111"/>
      <c r="Y549" s="4"/>
      <c r="Z549" s="4"/>
      <c r="AA549" s="55" t="s">
        <v>3</v>
      </c>
      <c r="AB549" s="55" t="s">
        <v>177</v>
      </c>
      <c r="AC549" s="55" t="s">
        <v>178</v>
      </c>
      <c r="AD549" s="55" t="s">
        <v>178</v>
      </c>
      <c r="AE549" s="55" t="s">
        <v>9</v>
      </c>
      <c r="AF549" s="55" t="s">
        <v>857</v>
      </c>
      <c r="AG549" s="55" t="s">
        <v>854</v>
      </c>
      <c r="AI549" s="56" t="s">
        <v>877</v>
      </c>
      <c r="AJ549" s="111"/>
      <c r="AK549" s="4"/>
    </row>
    <row r="550" spans="1:37" x14ac:dyDescent="0.2">
      <c r="A550" s="14">
        <v>550</v>
      </c>
      <c r="C550" s="101"/>
      <c r="D550" s="125"/>
      <c r="E550" s="125">
        <v>1</v>
      </c>
      <c r="F550" s="125">
        <f t="shared" ref="F550:I553" si="245">E550+1</f>
        <v>2</v>
      </c>
      <c r="G550" s="125">
        <f t="shared" si="245"/>
        <v>3</v>
      </c>
      <c r="H550" s="125">
        <f t="shared" si="245"/>
        <v>4</v>
      </c>
      <c r="I550" s="92">
        <f t="shared" si="245"/>
        <v>5</v>
      </c>
      <c r="K550" s="122">
        <v>40</v>
      </c>
      <c r="L550" s="94"/>
      <c r="M550" s="123"/>
      <c r="N550" s="4"/>
      <c r="O550" s="414" t="s">
        <v>185</v>
      </c>
      <c r="P550" s="125" t="s">
        <v>185</v>
      </c>
      <c r="Q550" s="125" t="s">
        <v>185</v>
      </c>
      <c r="R550" s="125" t="s">
        <v>185</v>
      </c>
      <c r="S550" s="125" t="s">
        <v>185</v>
      </c>
      <c r="T550" s="125">
        <v>1</v>
      </c>
      <c r="U550" s="92">
        <f>T550+1</f>
        <v>2</v>
      </c>
      <c r="W550" s="100">
        <v>44</v>
      </c>
      <c r="X550" s="94"/>
      <c r="Y550" s="49"/>
      <c r="Z550" s="4"/>
      <c r="AA550" s="414">
        <v>1</v>
      </c>
      <c r="AB550" s="125">
        <f t="shared" ref="AB550:AG553" si="246">AA550+1</f>
        <v>2</v>
      </c>
      <c r="AC550" s="125">
        <f t="shared" si="246"/>
        <v>3</v>
      </c>
      <c r="AD550" s="125">
        <f t="shared" si="246"/>
        <v>4</v>
      </c>
      <c r="AE550" s="125">
        <f t="shared" si="246"/>
        <v>5</v>
      </c>
      <c r="AF550" s="125">
        <f t="shared" si="246"/>
        <v>6</v>
      </c>
      <c r="AG550" s="92">
        <f t="shared" si="246"/>
        <v>7</v>
      </c>
      <c r="AI550" s="100">
        <v>49</v>
      </c>
      <c r="AJ550" s="94"/>
      <c r="AK550" s="152"/>
    </row>
    <row r="551" spans="1:37" x14ac:dyDescent="0.2">
      <c r="A551" s="14">
        <v>551</v>
      </c>
      <c r="C551" s="101">
        <f>I550+1</f>
        <v>6</v>
      </c>
      <c r="D551" s="124">
        <f t="shared" ref="D551:E554" si="247">C551+1</f>
        <v>7</v>
      </c>
      <c r="E551" s="131">
        <f t="shared" si="247"/>
        <v>8</v>
      </c>
      <c r="F551" s="125">
        <f t="shared" si="245"/>
        <v>9</v>
      </c>
      <c r="G551" s="125">
        <f t="shared" si="245"/>
        <v>10</v>
      </c>
      <c r="H551" s="125">
        <f t="shared" si="245"/>
        <v>11</v>
      </c>
      <c r="I551" s="92">
        <f t="shared" si="245"/>
        <v>12</v>
      </c>
      <c r="K551" s="122">
        <v>41</v>
      </c>
      <c r="L551" s="103" t="s">
        <v>418</v>
      </c>
      <c r="M551" s="126">
        <v>4</v>
      </c>
      <c r="N551" s="4"/>
      <c r="O551" s="101">
        <f>U550+1</f>
        <v>3</v>
      </c>
      <c r="P551" s="125">
        <f t="shared" ref="P551:T554" si="248">O551+1</f>
        <v>4</v>
      </c>
      <c r="Q551" s="125">
        <f t="shared" si="248"/>
        <v>5</v>
      </c>
      <c r="R551" s="125">
        <f t="shared" si="248"/>
        <v>6</v>
      </c>
      <c r="S551" s="125">
        <f t="shared" si="248"/>
        <v>7</v>
      </c>
      <c r="T551" s="125">
        <f t="shared" si="248"/>
        <v>8</v>
      </c>
      <c r="U551" s="92">
        <f>T551+1</f>
        <v>9</v>
      </c>
      <c r="W551" s="100">
        <v>45</v>
      </c>
      <c r="X551" s="103" t="s">
        <v>418</v>
      </c>
      <c r="Y551" s="106">
        <v>4</v>
      </c>
      <c r="Z551" s="4"/>
      <c r="AA551" s="101">
        <f>AG550+1</f>
        <v>8</v>
      </c>
      <c r="AB551" s="125">
        <f t="shared" si="246"/>
        <v>9</v>
      </c>
      <c r="AC551" s="125">
        <f t="shared" si="246"/>
        <v>10</v>
      </c>
      <c r="AD551" s="125">
        <f t="shared" si="246"/>
        <v>11</v>
      </c>
      <c r="AE551" s="125">
        <f t="shared" si="246"/>
        <v>12</v>
      </c>
      <c r="AF551" s="125">
        <f t="shared" si="246"/>
        <v>13</v>
      </c>
      <c r="AG551" s="92">
        <f t="shared" si="246"/>
        <v>14</v>
      </c>
      <c r="AI551" s="100">
        <v>50</v>
      </c>
      <c r="AJ551" s="103" t="s">
        <v>418</v>
      </c>
      <c r="AK551" s="106">
        <v>5</v>
      </c>
    </row>
    <row r="552" spans="1:37" x14ac:dyDescent="0.2">
      <c r="A552" s="14">
        <v>552</v>
      </c>
      <c r="C552" s="101">
        <f>I551+1</f>
        <v>13</v>
      </c>
      <c r="D552" s="125">
        <f t="shared" si="247"/>
        <v>14</v>
      </c>
      <c r="E552" s="125">
        <f t="shared" si="247"/>
        <v>15</v>
      </c>
      <c r="F552" s="125">
        <f t="shared" si="245"/>
        <v>16</v>
      </c>
      <c r="G552" s="125">
        <f t="shared" si="245"/>
        <v>17</v>
      </c>
      <c r="H552" s="125">
        <f t="shared" si="245"/>
        <v>18</v>
      </c>
      <c r="I552" s="92">
        <f t="shared" si="245"/>
        <v>19</v>
      </c>
      <c r="K552" s="122">
        <v>42</v>
      </c>
      <c r="L552" s="103" t="s">
        <v>425</v>
      </c>
      <c r="M552" s="126">
        <v>4</v>
      </c>
      <c r="N552" s="4"/>
      <c r="O552" s="101">
        <f>U551+1</f>
        <v>10</v>
      </c>
      <c r="P552" s="125">
        <f t="shared" si="248"/>
        <v>11</v>
      </c>
      <c r="Q552" s="125">
        <f t="shared" si="248"/>
        <v>12</v>
      </c>
      <c r="R552" s="125">
        <f t="shared" si="248"/>
        <v>13</v>
      </c>
      <c r="S552" s="125">
        <f t="shared" si="248"/>
        <v>14</v>
      </c>
      <c r="T552" s="125">
        <f t="shared" si="248"/>
        <v>15</v>
      </c>
      <c r="U552" s="92">
        <f>T552+1</f>
        <v>16</v>
      </c>
      <c r="W552" s="100">
        <v>46</v>
      </c>
      <c r="X552" s="103" t="s">
        <v>425</v>
      </c>
      <c r="Y552" s="106">
        <v>5</v>
      </c>
      <c r="Z552" s="4"/>
      <c r="AA552" s="101">
        <f>AG551+1</f>
        <v>15</v>
      </c>
      <c r="AB552" s="125">
        <f t="shared" si="246"/>
        <v>16</v>
      </c>
      <c r="AC552" s="125">
        <f t="shared" si="246"/>
        <v>17</v>
      </c>
      <c r="AD552" s="125">
        <f t="shared" si="246"/>
        <v>18</v>
      </c>
      <c r="AE552" s="125">
        <f t="shared" si="246"/>
        <v>19</v>
      </c>
      <c r="AF552" s="124">
        <f t="shared" si="246"/>
        <v>20</v>
      </c>
      <c r="AG552" s="92">
        <f t="shared" si="246"/>
        <v>21</v>
      </c>
      <c r="AI552" s="100">
        <v>51</v>
      </c>
      <c r="AJ552" s="103" t="s">
        <v>425</v>
      </c>
      <c r="AK552" s="106">
        <v>4</v>
      </c>
    </row>
    <row r="553" spans="1:37" x14ac:dyDescent="0.2">
      <c r="A553" s="14">
        <v>553</v>
      </c>
      <c r="C553" s="101">
        <f>I552+1</f>
        <v>20</v>
      </c>
      <c r="D553" s="125">
        <f t="shared" si="247"/>
        <v>21</v>
      </c>
      <c r="E553" s="125">
        <f t="shared" si="247"/>
        <v>22</v>
      </c>
      <c r="F553" s="125">
        <f t="shared" si="245"/>
        <v>23</v>
      </c>
      <c r="G553" s="125">
        <f t="shared" si="245"/>
        <v>24</v>
      </c>
      <c r="H553" s="125">
        <f t="shared" si="245"/>
        <v>25</v>
      </c>
      <c r="I553" s="92">
        <f t="shared" si="245"/>
        <v>26</v>
      </c>
      <c r="K553" s="122">
        <v>43</v>
      </c>
      <c r="L553" s="103" t="s">
        <v>878</v>
      </c>
      <c r="M553" s="126">
        <v>31</v>
      </c>
      <c r="N553" s="4"/>
      <c r="O553" s="101">
        <f>U552+1</f>
        <v>17</v>
      </c>
      <c r="P553" s="125">
        <f t="shared" si="248"/>
        <v>18</v>
      </c>
      <c r="Q553" s="125">
        <f t="shared" si="248"/>
        <v>19</v>
      </c>
      <c r="R553" s="125">
        <f t="shared" si="248"/>
        <v>20</v>
      </c>
      <c r="S553" s="125">
        <f t="shared" si="248"/>
        <v>21</v>
      </c>
      <c r="T553" s="125">
        <f t="shared" si="248"/>
        <v>22</v>
      </c>
      <c r="U553" s="92">
        <f>T553+1</f>
        <v>23</v>
      </c>
      <c r="W553" s="100">
        <v>47</v>
      </c>
      <c r="X553" s="103" t="s">
        <v>878</v>
      </c>
      <c r="Y553" s="106">
        <v>30</v>
      </c>
      <c r="Z553" s="4"/>
      <c r="AA553" s="101">
        <f>AG552+1</f>
        <v>22</v>
      </c>
      <c r="AB553" s="125">
        <f t="shared" si="246"/>
        <v>23</v>
      </c>
      <c r="AC553" s="125">
        <f t="shared" si="246"/>
        <v>24</v>
      </c>
      <c r="AD553" s="125">
        <f t="shared" si="246"/>
        <v>25</v>
      </c>
      <c r="AE553" s="125">
        <f t="shared" si="246"/>
        <v>26</v>
      </c>
      <c r="AF553" s="125">
        <f t="shared" si="246"/>
        <v>27</v>
      </c>
      <c r="AG553" s="92">
        <f t="shared" si="246"/>
        <v>28</v>
      </c>
      <c r="AI553" s="100">
        <v>52</v>
      </c>
      <c r="AJ553" s="103" t="s">
        <v>878</v>
      </c>
      <c r="AK553" s="106">
        <v>31</v>
      </c>
    </row>
    <row r="554" spans="1:37" x14ac:dyDescent="0.2">
      <c r="A554" s="14">
        <v>554</v>
      </c>
      <c r="C554" s="101">
        <f>I553+1</f>
        <v>27</v>
      </c>
      <c r="D554" s="125">
        <f t="shared" si="247"/>
        <v>28</v>
      </c>
      <c r="E554" s="125">
        <f t="shared" si="247"/>
        <v>29</v>
      </c>
      <c r="F554" s="125">
        <f>E554+1</f>
        <v>30</v>
      </c>
      <c r="G554" s="125">
        <f>F554+1</f>
        <v>31</v>
      </c>
      <c r="H554" s="125"/>
      <c r="I554" s="417"/>
      <c r="K554" s="122">
        <v>44</v>
      </c>
      <c r="L554" s="4"/>
      <c r="M554" s="112"/>
      <c r="N554" s="4"/>
      <c r="O554" s="101">
        <f>U553+1</f>
        <v>24</v>
      </c>
      <c r="P554" s="125">
        <f t="shared" si="248"/>
        <v>25</v>
      </c>
      <c r="Q554" s="125">
        <f t="shared" si="248"/>
        <v>26</v>
      </c>
      <c r="R554" s="125">
        <f t="shared" si="248"/>
        <v>27</v>
      </c>
      <c r="S554" s="125">
        <f t="shared" si="248"/>
        <v>28</v>
      </c>
      <c r="T554" s="125">
        <f t="shared" si="248"/>
        <v>29</v>
      </c>
      <c r="U554" s="92">
        <f>T554+1</f>
        <v>30</v>
      </c>
      <c r="W554" s="100">
        <v>48</v>
      </c>
      <c r="X554" s="111"/>
      <c r="Y554" s="112"/>
      <c r="Z554" s="4"/>
      <c r="AA554" s="101">
        <f>AG553+1</f>
        <v>29</v>
      </c>
      <c r="AB554" s="125">
        <f>AA554+1</f>
        <v>30</v>
      </c>
      <c r="AC554" s="125">
        <f>AB554+1</f>
        <v>31</v>
      </c>
      <c r="AD554" s="125"/>
      <c r="AE554" s="415"/>
      <c r="AF554" s="125"/>
      <c r="AG554" s="114"/>
      <c r="AI554" s="255"/>
      <c r="AJ554" s="111"/>
      <c r="AK554" s="4"/>
    </row>
    <row r="555" spans="1:37" x14ac:dyDescent="0.2">
      <c r="A555" s="14">
        <v>555</v>
      </c>
      <c r="C555" s="414" t="s">
        <v>185</v>
      </c>
      <c r="D555" s="125" t="s">
        <v>185</v>
      </c>
      <c r="E555" s="125" t="s">
        <v>185</v>
      </c>
      <c r="F555" s="125" t="s">
        <v>185</v>
      </c>
      <c r="G555" s="125" t="s">
        <v>185</v>
      </c>
      <c r="H555" s="125" t="s">
        <v>185</v>
      </c>
      <c r="I555" s="114"/>
      <c r="K555" s="122"/>
      <c r="L555" s="4"/>
      <c r="M555" s="4"/>
      <c r="N555" s="4"/>
      <c r="O555" s="101"/>
      <c r="P555" s="125"/>
      <c r="Q555" s="129"/>
      <c r="R555" s="129"/>
      <c r="S555" s="129"/>
      <c r="T555" s="129"/>
      <c r="U555" s="114"/>
      <c r="V555" s="133"/>
      <c r="W555" s="100"/>
      <c r="X555" s="4"/>
      <c r="Y555" s="4"/>
      <c r="Z555" s="4"/>
      <c r="AA555" s="101"/>
      <c r="AB555" s="125"/>
      <c r="AC555" s="125"/>
      <c r="AD555" s="125"/>
      <c r="AE555" s="129"/>
      <c r="AF555" s="129"/>
      <c r="AG555" s="114"/>
      <c r="AI555" s="116"/>
      <c r="AJ555" s="4"/>
      <c r="AK555" s="4"/>
    </row>
    <row r="556" spans="1:37" x14ac:dyDescent="0.2">
      <c r="A556" s="14">
        <v>556</v>
      </c>
      <c r="C556" s="88"/>
      <c r="D556" s="88"/>
      <c r="E556" s="88"/>
      <c r="F556" s="88"/>
      <c r="G556" s="88"/>
      <c r="H556" s="88"/>
      <c r="I556" s="8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88"/>
      <c r="AB556" s="88"/>
      <c r="AC556" s="88"/>
      <c r="AD556" s="88"/>
      <c r="AE556" s="88"/>
      <c r="AF556" s="88"/>
      <c r="AG556" s="88"/>
      <c r="AH556" s="4"/>
      <c r="AI556" s="4"/>
      <c r="AJ556" s="4"/>
      <c r="AK556" s="4"/>
    </row>
    <row r="557" spans="1:37" ht="12.75" x14ac:dyDescent="0.2">
      <c r="A557" s="14">
        <v>557</v>
      </c>
      <c r="C557" s="157"/>
      <c r="D557" s="141"/>
      <c r="E557" s="141"/>
      <c r="F557" s="141"/>
      <c r="G557" s="141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1"/>
      <c r="S557" s="140"/>
      <c r="T557" s="140"/>
      <c r="U557" s="140"/>
      <c r="V557" s="140"/>
      <c r="W557" s="140"/>
      <c r="X557" s="142" t="s">
        <v>1039</v>
      </c>
      <c r="Y557" s="141"/>
      <c r="Z557" s="4"/>
      <c r="AA557" s="88"/>
      <c r="AB557" s="88"/>
      <c r="AC557" s="88"/>
      <c r="AD557" s="88"/>
      <c r="AH557" s="153" t="s">
        <v>888</v>
      </c>
      <c r="AI557" s="144">
        <f>(M524+Y524+AK524+M533+Y533+AK533+M542+Y542+AK542+M551+Y551+AK551)</f>
        <v>52</v>
      </c>
    </row>
    <row r="558" spans="1:37" x14ac:dyDescent="0.2">
      <c r="A558" s="14">
        <v>558</v>
      </c>
      <c r="Z558" s="4"/>
      <c r="AA558" s="88"/>
      <c r="AB558" s="88"/>
      <c r="AC558" s="88"/>
      <c r="AD558" s="88"/>
      <c r="AH558" s="153" t="s">
        <v>889</v>
      </c>
      <c r="AI558" s="145">
        <f>(M525+Y525+AK525+M534+Y534+AK534+M543+Y543+AK543+M552+Y552+AK552)</f>
        <v>52</v>
      </c>
    </row>
    <row r="559" spans="1:37" x14ac:dyDescent="0.2">
      <c r="A559" s="14">
        <v>559</v>
      </c>
      <c r="C559" s="135"/>
      <c r="H559" s="4"/>
      <c r="I559" s="4"/>
      <c r="J559" s="4"/>
      <c r="K559" s="4"/>
      <c r="L559" s="4"/>
      <c r="M559" s="4"/>
      <c r="N559" s="4"/>
      <c r="O559" s="4"/>
      <c r="P559" s="4"/>
      <c r="Q559" s="4"/>
      <c r="S559" s="4"/>
      <c r="T559" s="4"/>
      <c r="U559" s="4"/>
      <c r="V559" s="4"/>
      <c r="W559" s="4"/>
      <c r="Z559" s="4"/>
      <c r="AA559" s="88"/>
      <c r="AB559" s="88"/>
      <c r="AC559" s="88"/>
      <c r="AD559" s="88"/>
      <c r="AH559" s="153" t="s">
        <v>890</v>
      </c>
      <c r="AI559" s="154">
        <f>(M526+Y526+AK526+M535+Y535+AK535+M544+Y544+AK544+M553+Y553+AK553)</f>
        <v>365</v>
      </c>
      <c r="AJ559" s="147" t="str">
        <f>IF(AI559&gt;365,"BISIESTO","NORMAL")</f>
        <v>NORMAL</v>
      </c>
    </row>
    <row r="560" spans="1:37" x14ac:dyDescent="0.2">
      <c r="A560" s="14">
        <v>560</v>
      </c>
      <c r="C560" s="135"/>
      <c r="H560" s="4"/>
      <c r="I560" s="4"/>
      <c r="J560" s="4"/>
      <c r="K560" s="4"/>
      <c r="L560" s="4"/>
      <c r="M560" s="4"/>
      <c r="N560" s="4"/>
      <c r="O560" s="4"/>
      <c r="P560" s="4"/>
      <c r="Q560" s="4"/>
      <c r="S560" s="4"/>
      <c r="T560" s="4"/>
      <c r="U560" s="4"/>
      <c r="V560" s="4"/>
      <c r="W560" s="4"/>
      <c r="Z560" s="4"/>
      <c r="AA560" s="88"/>
      <c r="AB560" s="88"/>
      <c r="AC560" s="88"/>
      <c r="AD560" s="88"/>
      <c r="AH560" s="153" t="s">
        <v>892</v>
      </c>
      <c r="AI560" s="149">
        <v>52</v>
      </c>
    </row>
    <row r="561" spans="1:37" x14ac:dyDescent="0.2">
      <c r="A561" s="14">
        <v>561</v>
      </c>
    </row>
    <row r="562" spans="1:37" ht="12.75" x14ac:dyDescent="0.2">
      <c r="A562" s="14">
        <v>562</v>
      </c>
      <c r="C562" s="85" t="s">
        <v>1052</v>
      </c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  <c r="AA562" s="86"/>
      <c r="AB562" s="86"/>
      <c r="AC562" s="86"/>
      <c r="AD562" s="86"/>
      <c r="AE562" s="86"/>
      <c r="AF562" s="86"/>
      <c r="AG562" s="86"/>
      <c r="AH562" s="86"/>
      <c r="AI562" s="86"/>
      <c r="AJ562" s="86"/>
      <c r="AK562" s="86"/>
    </row>
    <row r="563" spans="1:37" x14ac:dyDescent="0.2">
      <c r="A563" s="14">
        <v>563</v>
      </c>
    </row>
    <row r="564" spans="1:37" x14ac:dyDescent="0.2">
      <c r="A564" s="14">
        <v>564</v>
      </c>
      <c r="C564" s="404" t="s">
        <v>1053</v>
      </c>
      <c r="D564" s="88"/>
      <c r="E564" s="88"/>
      <c r="F564" s="88"/>
      <c r="G564" s="88"/>
      <c r="H564" s="88"/>
      <c r="I564" s="88"/>
      <c r="J564" s="4"/>
      <c r="K564" s="4"/>
      <c r="L564" s="89"/>
      <c r="M564" s="90"/>
      <c r="N564" s="4"/>
      <c r="O564" s="404" t="s">
        <v>1054</v>
      </c>
      <c r="P564" s="88"/>
      <c r="Q564" s="88"/>
      <c r="R564" s="88"/>
      <c r="S564" s="88"/>
      <c r="T564" s="88"/>
      <c r="U564" s="88"/>
      <c r="V564" s="4"/>
      <c r="W564" s="4"/>
      <c r="X564" s="4"/>
      <c r="Y564" s="4"/>
      <c r="Z564" s="4"/>
      <c r="AA564" s="404" t="s">
        <v>1055</v>
      </c>
      <c r="AB564" s="88"/>
      <c r="AC564" s="88"/>
      <c r="AD564" s="88"/>
      <c r="AE564" s="88"/>
      <c r="AF564" s="88"/>
      <c r="AG564" s="88"/>
      <c r="AH564" s="4"/>
      <c r="AI564" s="4"/>
      <c r="AJ564" s="4"/>
      <c r="AK564" s="4"/>
    </row>
    <row r="565" spans="1:37" x14ac:dyDescent="0.2">
      <c r="A565" s="14">
        <v>565</v>
      </c>
      <c r="C565" s="55" t="s">
        <v>3</v>
      </c>
      <c r="D565" s="55" t="s">
        <v>177</v>
      </c>
      <c r="E565" s="55" t="s">
        <v>178</v>
      </c>
      <c r="F565" s="55" t="s">
        <v>178</v>
      </c>
      <c r="G565" s="55" t="s">
        <v>9</v>
      </c>
      <c r="H565" s="55" t="s">
        <v>857</v>
      </c>
      <c r="I565" s="55" t="s">
        <v>854</v>
      </c>
      <c r="K565" s="56" t="s">
        <v>877</v>
      </c>
      <c r="L565" s="4"/>
      <c r="M565" s="4"/>
      <c r="N565" s="4"/>
      <c r="O565" s="55" t="s">
        <v>3</v>
      </c>
      <c r="P565" s="55" t="s">
        <v>177</v>
      </c>
      <c r="Q565" s="55" t="s">
        <v>178</v>
      </c>
      <c r="R565" s="55" t="s">
        <v>178</v>
      </c>
      <c r="S565" s="55" t="s">
        <v>9</v>
      </c>
      <c r="T565" s="55" t="s">
        <v>857</v>
      </c>
      <c r="U565" s="55" t="s">
        <v>854</v>
      </c>
      <c r="W565" s="56" t="s">
        <v>877</v>
      </c>
      <c r="X565" s="4"/>
      <c r="Y565" s="57"/>
      <c r="Z565" s="4"/>
      <c r="AA565" s="55" t="s">
        <v>3</v>
      </c>
      <c r="AB565" s="55" t="s">
        <v>177</v>
      </c>
      <c r="AC565" s="55" t="s">
        <v>178</v>
      </c>
      <c r="AD565" s="55" t="s">
        <v>178</v>
      </c>
      <c r="AE565" s="55" t="s">
        <v>9</v>
      </c>
      <c r="AF565" s="55" t="s">
        <v>857</v>
      </c>
      <c r="AG565" s="55" t="s">
        <v>854</v>
      </c>
      <c r="AI565" s="56" t="s">
        <v>877</v>
      </c>
      <c r="AJ565" s="4"/>
      <c r="AK565" s="4"/>
    </row>
    <row r="566" spans="1:37" x14ac:dyDescent="0.2">
      <c r="A566" s="14">
        <v>566</v>
      </c>
      <c r="C566" s="58"/>
      <c r="D566" s="91"/>
      <c r="E566" s="156"/>
      <c r="F566" s="156">
        <v>1</v>
      </c>
      <c r="G566" s="91">
        <f t="shared" ref="G566:H570" si="249">F566+1</f>
        <v>2</v>
      </c>
      <c r="H566" s="91">
        <f t="shared" si="249"/>
        <v>3</v>
      </c>
      <c r="I566" s="405">
        <f>H566+1</f>
        <v>4</v>
      </c>
      <c r="K566" s="93">
        <v>1</v>
      </c>
      <c r="L566" s="94"/>
      <c r="M566" s="95"/>
      <c r="N566" s="96"/>
      <c r="O566" s="414" t="s">
        <v>185</v>
      </c>
      <c r="P566" s="91" t="s">
        <v>185</v>
      </c>
      <c r="Q566" s="91" t="s">
        <v>185</v>
      </c>
      <c r="R566" s="91" t="s">
        <v>185</v>
      </c>
      <c r="S566" s="91" t="s">
        <v>185</v>
      </c>
      <c r="T566" s="91" t="s">
        <v>185</v>
      </c>
      <c r="U566" s="92">
        <v>1</v>
      </c>
      <c r="W566" s="98">
        <v>5</v>
      </c>
      <c r="X566" s="94"/>
      <c r="Y566" s="99"/>
      <c r="Z566" s="96"/>
      <c r="AA566" s="414">
        <v>1</v>
      </c>
      <c r="AB566" s="91">
        <f t="shared" ref="AB566:AC569" si="250">AA566+1</f>
        <v>2</v>
      </c>
      <c r="AC566" s="91">
        <f t="shared" si="250"/>
        <v>3</v>
      </c>
      <c r="AD566" s="91">
        <f t="shared" ref="AD566:AG569" si="251">AC566+1</f>
        <v>4</v>
      </c>
      <c r="AE566" s="91">
        <f t="shared" si="251"/>
        <v>5</v>
      </c>
      <c r="AF566" s="91">
        <f t="shared" si="251"/>
        <v>6</v>
      </c>
      <c r="AG566" s="92">
        <f t="shared" si="251"/>
        <v>7</v>
      </c>
      <c r="AI566" s="100">
        <v>10</v>
      </c>
      <c r="AJ566" s="94"/>
      <c r="AK566" s="49"/>
    </row>
    <row r="567" spans="1:37" x14ac:dyDescent="0.2">
      <c r="A567" s="14">
        <v>567</v>
      </c>
      <c r="C567" s="101">
        <f>I566+1</f>
        <v>5</v>
      </c>
      <c r="D567" s="91">
        <f t="shared" ref="D567:F570" si="252">C567+1</f>
        <v>6</v>
      </c>
      <c r="E567" s="91">
        <f t="shared" si="252"/>
        <v>7</v>
      </c>
      <c r="F567" s="91">
        <f t="shared" si="252"/>
        <v>8</v>
      </c>
      <c r="G567" s="91">
        <f t="shared" si="249"/>
        <v>9</v>
      </c>
      <c r="H567" s="91">
        <f>G567+1</f>
        <v>10</v>
      </c>
      <c r="I567" s="92">
        <f>H567+1</f>
        <v>11</v>
      </c>
      <c r="K567" s="93">
        <v>2</v>
      </c>
      <c r="L567" s="103" t="s">
        <v>418</v>
      </c>
      <c r="M567" s="104">
        <v>4</v>
      </c>
      <c r="N567" s="96"/>
      <c r="O567" s="101">
        <f>U566+1</f>
        <v>2</v>
      </c>
      <c r="P567" s="91">
        <f t="shared" ref="P567:U570" si="253">O567+1</f>
        <v>3</v>
      </c>
      <c r="Q567" s="91">
        <f t="shared" si="253"/>
        <v>4</v>
      </c>
      <c r="R567" s="91">
        <f t="shared" si="253"/>
        <v>5</v>
      </c>
      <c r="S567" s="91">
        <f t="shared" si="253"/>
        <v>6</v>
      </c>
      <c r="T567" s="91">
        <f t="shared" si="253"/>
        <v>7</v>
      </c>
      <c r="U567" s="92">
        <f t="shared" si="253"/>
        <v>8</v>
      </c>
      <c r="W567" s="98">
        <v>6</v>
      </c>
      <c r="X567" s="103" t="s">
        <v>418</v>
      </c>
      <c r="Y567" s="105">
        <v>4</v>
      </c>
      <c r="Z567" s="96"/>
      <c r="AA567" s="101">
        <f>AG566+1</f>
        <v>8</v>
      </c>
      <c r="AB567" s="91">
        <f t="shared" si="250"/>
        <v>9</v>
      </c>
      <c r="AC567" s="91">
        <f>AB567+1</f>
        <v>10</v>
      </c>
      <c r="AD567" s="91">
        <f t="shared" si="251"/>
        <v>11</v>
      </c>
      <c r="AE567" s="91">
        <f t="shared" si="251"/>
        <v>12</v>
      </c>
      <c r="AF567" s="91">
        <f t="shared" si="251"/>
        <v>13</v>
      </c>
      <c r="AG567" s="92">
        <f t="shared" si="251"/>
        <v>14</v>
      </c>
      <c r="AI567" s="100">
        <v>11</v>
      </c>
      <c r="AJ567" s="103" t="s">
        <v>418</v>
      </c>
      <c r="AK567" s="106">
        <v>5</v>
      </c>
    </row>
    <row r="568" spans="1:37" x14ac:dyDescent="0.2">
      <c r="A568" s="14">
        <v>568</v>
      </c>
      <c r="C568" s="101">
        <f>I567+1</f>
        <v>12</v>
      </c>
      <c r="D568" s="91">
        <f t="shared" si="252"/>
        <v>13</v>
      </c>
      <c r="E568" s="91">
        <f t="shared" si="252"/>
        <v>14</v>
      </c>
      <c r="F568" s="91">
        <f t="shared" si="252"/>
        <v>15</v>
      </c>
      <c r="G568" s="91">
        <f t="shared" si="249"/>
        <v>16</v>
      </c>
      <c r="H568" s="91">
        <f>G568+1</f>
        <v>17</v>
      </c>
      <c r="I568" s="92">
        <f>H568+1</f>
        <v>18</v>
      </c>
      <c r="K568" s="93">
        <v>3</v>
      </c>
      <c r="L568" s="103" t="s">
        <v>425</v>
      </c>
      <c r="M568" s="104">
        <v>4</v>
      </c>
      <c r="N568" s="96"/>
      <c r="O568" s="101">
        <f>U567+1</f>
        <v>9</v>
      </c>
      <c r="P568" s="91">
        <f t="shared" si="253"/>
        <v>10</v>
      </c>
      <c r="Q568" s="91">
        <f t="shared" si="253"/>
        <v>11</v>
      </c>
      <c r="R568" s="91">
        <f t="shared" si="253"/>
        <v>12</v>
      </c>
      <c r="S568" s="91">
        <f t="shared" si="253"/>
        <v>13</v>
      </c>
      <c r="T568" s="91">
        <f t="shared" si="253"/>
        <v>14</v>
      </c>
      <c r="U568" s="92">
        <f t="shared" si="253"/>
        <v>15</v>
      </c>
      <c r="W568" s="98">
        <v>7</v>
      </c>
      <c r="X568" s="103" t="s">
        <v>425</v>
      </c>
      <c r="Y568" s="105">
        <v>5</v>
      </c>
      <c r="Z568" s="96"/>
      <c r="AA568" s="101">
        <f>AG567+1</f>
        <v>15</v>
      </c>
      <c r="AB568" s="91">
        <f t="shared" si="250"/>
        <v>16</v>
      </c>
      <c r="AC568" s="91">
        <f>AB568+1</f>
        <v>17</v>
      </c>
      <c r="AD568" s="91">
        <f t="shared" si="251"/>
        <v>18</v>
      </c>
      <c r="AE568" s="124">
        <f t="shared" si="251"/>
        <v>19</v>
      </c>
      <c r="AF568" s="131">
        <f t="shared" si="251"/>
        <v>20</v>
      </c>
      <c r="AG568" s="92">
        <f t="shared" si="251"/>
        <v>21</v>
      </c>
      <c r="AI568" s="100">
        <v>12</v>
      </c>
      <c r="AJ568" s="103" t="s">
        <v>425</v>
      </c>
      <c r="AK568" s="106">
        <v>4</v>
      </c>
    </row>
    <row r="569" spans="1:37" x14ac:dyDescent="0.2">
      <c r="A569" s="14">
        <v>569</v>
      </c>
      <c r="C569" s="101">
        <f>I568+1</f>
        <v>19</v>
      </c>
      <c r="D569" s="91">
        <f t="shared" si="252"/>
        <v>20</v>
      </c>
      <c r="E569" s="91">
        <f t="shared" si="252"/>
        <v>21</v>
      </c>
      <c r="F569" s="91">
        <f t="shared" si="252"/>
        <v>22</v>
      </c>
      <c r="G569" s="91">
        <f t="shared" si="249"/>
        <v>23</v>
      </c>
      <c r="H569" s="91">
        <f>G569+1</f>
        <v>24</v>
      </c>
      <c r="I569" s="92">
        <f>H569+1</f>
        <v>25</v>
      </c>
      <c r="K569" s="93">
        <v>4</v>
      </c>
      <c r="L569" s="103" t="s">
        <v>878</v>
      </c>
      <c r="M569" s="104">
        <v>31</v>
      </c>
      <c r="N569" s="96"/>
      <c r="O569" s="101">
        <f>U568+1</f>
        <v>16</v>
      </c>
      <c r="P569" s="91">
        <f t="shared" si="253"/>
        <v>17</v>
      </c>
      <c r="Q569" s="91">
        <f t="shared" si="253"/>
        <v>18</v>
      </c>
      <c r="R569" s="91">
        <f t="shared" si="253"/>
        <v>19</v>
      </c>
      <c r="S569" s="91">
        <f t="shared" si="253"/>
        <v>20</v>
      </c>
      <c r="T569" s="91">
        <f t="shared" si="253"/>
        <v>21</v>
      </c>
      <c r="U569" s="92">
        <f t="shared" si="253"/>
        <v>22</v>
      </c>
      <c r="W569" s="98">
        <v>8</v>
      </c>
      <c r="X569" s="103" t="s">
        <v>878</v>
      </c>
      <c r="Y569" s="105">
        <v>29</v>
      </c>
      <c r="Z569" s="96"/>
      <c r="AA569" s="101">
        <f>AG568+1</f>
        <v>22</v>
      </c>
      <c r="AB569" s="91">
        <f t="shared" si="250"/>
        <v>23</v>
      </c>
      <c r="AC569" s="91">
        <f>AB569+1</f>
        <v>24</v>
      </c>
      <c r="AD569" s="134">
        <f t="shared" si="251"/>
        <v>25</v>
      </c>
      <c r="AE569" s="91">
        <f t="shared" si="251"/>
        <v>26</v>
      </c>
      <c r="AF569" s="91">
        <f t="shared" si="251"/>
        <v>27</v>
      </c>
      <c r="AG569" s="92">
        <f t="shared" si="251"/>
        <v>28</v>
      </c>
      <c r="AI569" s="100">
        <v>13</v>
      </c>
      <c r="AJ569" s="103" t="s">
        <v>878</v>
      </c>
      <c r="AK569" s="106">
        <v>31</v>
      </c>
    </row>
    <row r="570" spans="1:37" x14ac:dyDescent="0.2">
      <c r="A570" s="14">
        <v>570</v>
      </c>
      <c r="C570" s="101">
        <f>I569+1</f>
        <v>26</v>
      </c>
      <c r="D570" s="91">
        <f t="shared" si="252"/>
        <v>27</v>
      </c>
      <c r="E570" s="91">
        <f t="shared" si="252"/>
        <v>28</v>
      </c>
      <c r="F570" s="91">
        <f t="shared" si="252"/>
        <v>29</v>
      </c>
      <c r="G570" s="91">
        <f t="shared" si="249"/>
        <v>30</v>
      </c>
      <c r="H570" s="91">
        <f>G570+1</f>
        <v>31</v>
      </c>
      <c r="I570" s="92"/>
      <c r="K570" s="93">
        <v>5</v>
      </c>
      <c r="L570" s="107"/>
      <c r="M570" s="108"/>
      <c r="N570" s="96"/>
      <c r="O570" s="101">
        <f>U569+1</f>
        <v>23</v>
      </c>
      <c r="P570" s="91">
        <f t="shared" si="253"/>
        <v>24</v>
      </c>
      <c r="Q570" s="91">
        <f t="shared" si="253"/>
        <v>25</v>
      </c>
      <c r="R570" s="91">
        <f t="shared" si="253"/>
        <v>26</v>
      </c>
      <c r="S570" s="91">
        <f t="shared" si="253"/>
        <v>27</v>
      </c>
      <c r="T570" s="91">
        <f t="shared" si="253"/>
        <v>28</v>
      </c>
      <c r="U570" s="92">
        <f t="shared" si="253"/>
        <v>29</v>
      </c>
      <c r="W570" s="98">
        <v>9</v>
      </c>
      <c r="X570" s="107"/>
      <c r="Y570" s="109"/>
      <c r="Z570" s="96"/>
      <c r="AA570" s="101">
        <f>AG569+1</f>
        <v>29</v>
      </c>
      <c r="AB570" s="91">
        <f>AA570+1</f>
        <v>30</v>
      </c>
      <c r="AC570" s="416">
        <f>AB570+1</f>
        <v>31</v>
      </c>
      <c r="AD570" s="416"/>
      <c r="AE570" s="416"/>
      <c r="AF570" s="113"/>
      <c r="AG570" s="114"/>
      <c r="AI570" s="100">
        <v>14</v>
      </c>
      <c r="AJ570" s="111"/>
      <c r="AK570" s="112"/>
    </row>
    <row r="571" spans="1:37" x14ac:dyDescent="0.2">
      <c r="A571" s="14">
        <v>571</v>
      </c>
      <c r="C571" s="101"/>
      <c r="D571" s="91"/>
      <c r="E571" s="91"/>
      <c r="F571" s="113"/>
      <c r="G571" s="113"/>
      <c r="H571" s="113"/>
      <c r="I571" s="114"/>
      <c r="K571" s="93"/>
      <c r="L571" s="107"/>
      <c r="M571" s="115"/>
      <c r="N571" s="96"/>
      <c r="O571" s="101"/>
      <c r="P571" s="91"/>
      <c r="Q571" s="113"/>
      <c r="R571" s="113"/>
      <c r="S571" s="113"/>
      <c r="T571" s="113"/>
      <c r="U571" s="114"/>
      <c r="W571" s="98"/>
      <c r="X571" s="107"/>
      <c r="Y571" s="96"/>
      <c r="Z571" s="96"/>
      <c r="AA571" s="101"/>
      <c r="AB571" s="91"/>
      <c r="AC571" s="113"/>
      <c r="AD571" s="113"/>
      <c r="AE571" s="113"/>
      <c r="AF571" s="113"/>
      <c r="AG571" s="114"/>
      <c r="AI571" s="100"/>
      <c r="AJ571" s="111"/>
      <c r="AK571" s="4"/>
    </row>
    <row r="572" spans="1:37" x14ac:dyDescent="0.2">
      <c r="A572" s="14">
        <v>572</v>
      </c>
      <c r="C572" s="88"/>
      <c r="D572" s="88"/>
      <c r="E572" s="88"/>
      <c r="F572" s="88"/>
      <c r="G572" s="88"/>
      <c r="H572" s="88"/>
      <c r="I572" s="88"/>
      <c r="K572" s="117"/>
      <c r="L572" s="111"/>
      <c r="M572" s="118"/>
      <c r="N572" s="4"/>
      <c r="O572" s="4"/>
      <c r="P572" s="4"/>
      <c r="Q572" s="4"/>
      <c r="R572" s="4"/>
      <c r="S572" s="4"/>
      <c r="T572" s="4"/>
      <c r="U572" s="4"/>
      <c r="W572" s="119"/>
      <c r="X572" s="111"/>
      <c r="Y572" s="4"/>
      <c r="Z572" s="4"/>
      <c r="AA572" s="4"/>
      <c r="AB572" s="4"/>
      <c r="AC572" s="4"/>
      <c r="AD572" s="4"/>
      <c r="AE572" s="4"/>
      <c r="AF572" s="4"/>
      <c r="AG572" s="4"/>
      <c r="AI572" s="120"/>
      <c r="AJ572" s="111"/>
      <c r="AK572" s="4"/>
    </row>
    <row r="573" spans="1:37" x14ac:dyDescent="0.2">
      <c r="A573" s="14">
        <v>573</v>
      </c>
      <c r="C573" s="404" t="s">
        <v>1056</v>
      </c>
      <c r="D573" s="88"/>
      <c r="E573" s="88"/>
      <c r="F573" s="88"/>
      <c r="G573" s="88"/>
      <c r="H573" s="88"/>
      <c r="I573" s="88"/>
      <c r="K573" s="117"/>
      <c r="L573" s="111"/>
      <c r="M573" s="121"/>
      <c r="N573" s="4"/>
      <c r="O573" s="404" t="s">
        <v>1057</v>
      </c>
      <c r="P573" s="88"/>
      <c r="Q573" s="88"/>
      <c r="R573" s="88"/>
      <c r="S573" s="88"/>
      <c r="T573" s="88"/>
      <c r="U573" s="88"/>
      <c r="W573" s="119"/>
      <c r="X573" s="111"/>
      <c r="Y573" s="4"/>
      <c r="Z573" s="4"/>
      <c r="AA573" s="404" t="s">
        <v>1058</v>
      </c>
      <c r="AB573" s="88"/>
      <c r="AC573" s="88"/>
      <c r="AD573" s="88"/>
      <c r="AE573" s="88"/>
      <c r="AF573" s="88"/>
      <c r="AG573" s="88"/>
      <c r="AI573" s="120"/>
      <c r="AJ573" s="111"/>
      <c r="AK573" s="4"/>
    </row>
    <row r="574" spans="1:37" x14ac:dyDescent="0.2">
      <c r="A574" s="14">
        <v>574</v>
      </c>
      <c r="C574" s="55" t="s">
        <v>3</v>
      </c>
      <c r="D574" s="55" t="s">
        <v>177</v>
      </c>
      <c r="E574" s="55" t="s">
        <v>178</v>
      </c>
      <c r="F574" s="55" t="s">
        <v>178</v>
      </c>
      <c r="G574" s="55" t="s">
        <v>9</v>
      </c>
      <c r="H574" s="55" t="s">
        <v>857</v>
      </c>
      <c r="I574" s="55" t="s">
        <v>854</v>
      </c>
      <c r="K574" s="56" t="s">
        <v>877</v>
      </c>
      <c r="L574" s="111"/>
      <c r="M574" s="121"/>
      <c r="N574" s="4"/>
      <c r="O574" s="55" t="s">
        <v>3</v>
      </c>
      <c r="P574" s="55" t="s">
        <v>177</v>
      </c>
      <c r="Q574" s="55" t="s">
        <v>178</v>
      </c>
      <c r="R574" s="55" t="s">
        <v>178</v>
      </c>
      <c r="S574" s="55" t="s">
        <v>9</v>
      </c>
      <c r="T574" s="55" t="s">
        <v>857</v>
      </c>
      <c r="U574" s="55" t="s">
        <v>854</v>
      </c>
      <c r="W574" s="56" t="s">
        <v>877</v>
      </c>
      <c r="X574" s="111"/>
      <c r="Y574" s="4"/>
      <c r="Z574" s="4"/>
      <c r="AA574" s="55" t="s">
        <v>3</v>
      </c>
      <c r="AB574" s="55" t="s">
        <v>177</v>
      </c>
      <c r="AC574" s="55" t="s">
        <v>178</v>
      </c>
      <c r="AD574" s="55" t="s">
        <v>178</v>
      </c>
      <c r="AE574" s="55" t="s">
        <v>9</v>
      </c>
      <c r="AF574" s="55" t="s">
        <v>857</v>
      </c>
      <c r="AG574" s="55" t="s">
        <v>854</v>
      </c>
      <c r="AI574" s="56" t="s">
        <v>877</v>
      </c>
      <c r="AJ574" s="111"/>
      <c r="AK574" s="4"/>
    </row>
    <row r="575" spans="1:37" x14ac:dyDescent="0.2">
      <c r="A575" s="14">
        <v>575</v>
      </c>
      <c r="C575" s="58"/>
      <c r="D575" s="91" t="s">
        <v>185</v>
      </c>
      <c r="E575" s="91"/>
      <c r="F575" s="91">
        <v>1</v>
      </c>
      <c r="G575" s="91">
        <f t="shared" ref="G575:I578" si="254">F575+1</f>
        <v>2</v>
      </c>
      <c r="H575" s="91">
        <f t="shared" si="254"/>
        <v>3</v>
      </c>
      <c r="I575" s="92">
        <f t="shared" si="254"/>
        <v>4</v>
      </c>
      <c r="K575" s="122">
        <v>14</v>
      </c>
      <c r="L575" s="94"/>
      <c r="M575" s="123"/>
      <c r="N575" s="4"/>
      <c r="O575" s="406" t="s">
        <v>185</v>
      </c>
      <c r="P575" s="125" t="s">
        <v>185</v>
      </c>
      <c r="Q575" s="125" t="s">
        <v>185</v>
      </c>
      <c r="R575" s="125" t="s">
        <v>185</v>
      </c>
      <c r="S575" s="125" t="s">
        <v>185</v>
      </c>
      <c r="T575" s="125">
        <v>1</v>
      </c>
      <c r="U575" s="92">
        <f>T575+1</f>
        <v>2</v>
      </c>
      <c r="W575" s="100">
        <v>18</v>
      </c>
      <c r="X575" s="94"/>
      <c r="Y575" s="49"/>
      <c r="Z575" s="4"/>
      <c r="AA575" s="101"/>
      <c r="AB575" s="125">
        <v>1</v>
      </c>
      <c r="AC575" s="125">
        <f t="shared" ref="AB575:AD577" si="255">AB575+1</f>
        <v>2</v>
      </c>
      <c r="AD575" s="125">
        <f t="shared" si="255"/>
        <v>3</v>
      </c>
      <c r="AE575" s="125">
        <f t="shared" ref="AE575:AG578" si="256">AD575+1</f>
        <v>4</v>
      </c>
      <c r="AF575" s="125">
        <f t="shared" si="256"/>
        <v>5</v>
      </c>
      <c r="AG575" s="92">
        <f t="shared" si="256"/>
        <v>6</v>
      </c>
      <c r="AI575" s="100">
        <v>23</v>
      </c>
      <c r="AJ575" s="94"/>
      <c r="AK575" s="123"/>
    </row>
    <row r="576" spans="1:37" x14ac:dyDescent="0.2">
      <c r="A576" s="14">
        <v>576</v>
      </c>
      <c r="C576" s="101">
        <f>I575+1</f>
        <v>5</v>
      </c>
      <c r="D576" s="91">
        <f t="shared" ref="D576:F579" si="257">C576+1</f>
        <v>6</v>
      </c>
      <c r="E576" s="91">
        <f t="shared" si="257"/>
        <v>7</v>
      </c>
      <c r="F576" s="91">
        <f t="shared" si="257"/>
        <v>8</v>
      </c>
      <c r="G576" s="124">
        <f t="shared" si="254"/>
        <v>9</v>
      </c>
      <c r="H576" s="124">
        <f t="shared" si="254"/>
        <v>10</v>
      </c>
      <c r="I576" s="92">
        <f t="shared" si="254"/>
        <v>11</v>
      </c>
      <c r="K576" s="122">
        <v>15</v>
      </c>
      <c r="L576" s="103" t="s">
        <v>418</v>
      </c>
      <c r="M576" s="126">
        <v>4</v>
      </c>
      <c r="N576" s="4"/>
      <c r="O576" s="101">
        <f>U575+1</f>
        <v>3</v>
      </c>
      <c r="P576" s="125">
        <f t="shared" ref="P576:R579" si="258">O576+1</f>
        <v>4</v>
      </c>
      <c r="Q576" s="125">
        <f t="shared" si="258"/>
        <v>5</v>
      </c>
      <c r="R576" s="125">
        <f t="shared" si="258"/>
        <v>6</v>
      </c>
      <c r="S576" s="125">
        <f t="shared" ref="S576:T578" si="259">R576+1</f>
        <v>7</v>
      </c>
      <c r="T576" s="125">
        <f t="shared" si="259"/>
        <v>8</v>
      </c>
      <c r="U576" s="92">
        <f>T576+1</f>
        <v>9</v>
      </c>
      <c r="W576" s="100">
        <v>19</v>
      </c>
      <c r="X576" s="103" t="s">
        <v>418</v>
      </c>
      <c r="Y576" s="106">
        <v>5</v>
      </c>
      <c r="Z576" s="4"/>
      <c r="AA576" s="101">
        <f>AG575+1</f>
        <v>7</v>
      </c>
      <c r="AB576" s="125">
        <f t="shared" si="255"/>
        <v>8</v>
      </c>
      <c r="AC576" s="125">
        <f t="shared" ref="AC576:AD578" si="260">AB576+1</f>
        <v>9</v>
      </c>
      <c r="AD576" s="125">
        <f t="shared" si="260"/>
        <v>10</v>
      </c>
      <c r="AE576" s="125">
        <f t="shared" si="256"/>
        <v>11</v>
      </c>
      <c r="AF576" s="125">
        <f t="shared" si="256"/>
        <v>12</v>
      </c>
      <c r="AG576" s="92">
        <f t="shared" si="256"/>
        <v>13</v>
      </c>
      <c r="AI576" s="100">
        <v>24</v>
      </c>
      <c r="AJ576" s="103" t="s">
        <v>418</v>
      </c>
      <c r="AK576" s="106">
        <v>4</v>
      </c>
    </row>
    <row r="577" spans="1:37" x14ac:dyDescent="0.2">
      <c r="A577" s="14">
        <v>577</v>
      </c>
      <c r="C577" s="101">
        <f>I576+1</f>
        <v>12</v>
      </c>
      <c r="D577" s="91">
        <f t="shared" si="257"/>
        <v>13</v>
      </c>
      <c r="E577" s="91">
        <f t="shared" si="257"/>
        <v>14</v>
      </c>
      <c r="F577" s="91">
        <f t="shared" si="257"/>
        <v>15</v>
      </c>
      <c r="G577" s="91">
        <f t="shared" si="254"/>
        <v>16</v>
      </c>
      <c r="H577" s="91">
        <f t="shared" si="254"/>
        <v>17</v>
      </c>
      <c r="I577" s="92">
        <f t="shared" si="254"/>
        <v>18</v>
      </c>
      <c r="K577" s="122">
        <v>16</v>
      </c>
      <c r="L577" s="103" t="s">
        <v>425</v>
      </c>
      <c r="M577" s="126">
        <v>4</v>
      </c>
      <c r="N577" s="4"/>
      <c r="O577" s="101">
        <f>U576+1</f>
        <v>10</v>
      </c>
      <c r="P577" s="125">
        <f t="shared" si="258"/>
        <v>11</v>
      </c>
      <c r="Q577" s="125">
        <f t="shared" si="258"/>
        <v>12</v>
      </c>
      <c r="R577" s="125">
        <f t="shared" si="258"/>
        <v>13</v>
      </c>
      <c r="S577" s="125">
        <f t="shared" si="259"/>
        <v>14</v>
      </c>
      <c r="T577" s="125">
        <f t="shared" si="259"/>
        <v>15</v>
      </c>
      <c r="U577" s="92">
        <f>T577+1</f>
        <v>16</v>
      </c>
      <c r="W577" s="100">
        <v>20</v>
      </c>
      <c r="X577" s="103" t="s">
        <v>425</v>
      </c>
      <c r="Y577" s="106">
        <v>5</v>
      </c>
      <c r="Z577" s="4"/>
      <c r="AA577" s="101">
        <f>AG576+1</f>
        <v>14</v>
      </c>
      <c r="AB577" s="125">
        <f t="shared" si="255"/>
        <v>15</v>
      </c>
      <c r="AC577" s="97">
        <f t="shared" si="260"/>
        <v>16</v>
      </c>
      <c r="AD577" s="130">
        <f t="shared" si="260"/>
        <v>17</v>
      </c>
      <c r="AE577" s="130">
        <f t="shared" si="256"/>
        <v>18</v>
      </c>
      <c r="AF577" s="97">
        <f t="shared" si="256"/>
        <v>19</v>
      </c>
      <c r="AG577" s="92">
        <f t="shared" si="256"/>
        <v>20</v>
      </c>
      <c r="AI577" s="100">
        <v>25</v>
      </c>
      <c r="AJ577" s="103" t="s">
        <v>425</v>
      </c>
      <c r="AK577" s="106">
        <v>4</v>
      </c>
    </row>
    <row r="578" spans="1:37" x14ac:dyDescent="0.2">
      <c r="A578" s="14">
        <v>578</v>
      </c>
      <c r="C578" s="101">
        <f>I577+1</f>
        <v>19</v>
      </c>
      <c r="D578" s="131">
        <f t="shared" si="257"/>
        <v>20</v>
      </c>
      <c r="E578" s="97">
        <f t="shared" si="257"/>
        <v>21</v>
      </c>
      <c r="F578" s="97">
        <f t="shared" si="257"/>
        <v>22</v>
      </c>
      <c r="G578" s="91">
        <f t="shared" si="254"/>
        <v>23</v>
      </c>
      <c r="H578" s="91">
        <f t="shared" si="254"/>
        <v>24</v>
      </c>
      <c r="I578" s="92">
        <f t="shared" si="254"/>
        <v>25</v>
      </c>
      <c r="K578" s="122">
        <v>17</v>
      </c>
      <c r="L578" s="103" t="s">
        <v>878</v>
      </c>
      <c r="M578" s="126">
        <v>30</v>
      </c>
      <c r="N578" s="4"/>
      <c r="O578" s="101">
        <f>U577+1</f>
        <v>17</v>
      </c>
      <c r="P578" s="125">
        <f t="shared" si="258"/>
        <v>18</v>
      </c>
      <c r="Q578" s="125">
        <f t="shared" si="258"/>
        <v>19</v>
      </c>
      <c r="R578" s="125">
        <f t="shared" si="258"/>
        <v>20</v>
      </c>
      <c r="S578" s="125">
        <f t="shared" si="259"/>
        <v>21</v>
      </c>
      <c r="T578" s="125">
        <f t="shared" si="259"/>
        <v>22</v>
      </c>
      <c r="U578" s="92">
        <f>T578+1</f>
        <v>23</v>
      </c>
      <c r="W578" s="100">
        <v>21</v>
      </c>
      <c r="X578" s="103" t="s">
        <v>878</v>
      </c>
      <c r="Y578" s="106">
        <v>31</v>
      </c>
      <c r="Z578" s="4"/>
      <c r="AA578" s="101">
        <f>AG577+1</f>
        <v>21</v>
      </c>
      <c r="AB578" s="125">
        <f>AA578+1</f>
        <v>22</v>
      </c>
      <c r="AC578" s="130">
        <f t="shared" si="260"/>
        <v>23</v>
      </c>
      <c r="AD578" s="125">
        <f t="shared" si="260"/>
        <v>24</v>
      </c>
      <c r="AE578" s="125">
        <f t="shared" si="256"/>
        <v>25</v>
      </c>
      <c r="AF578" s="125">
        <f t="shared" si="256"/>
        <v>26</v>
      </c>
      <c r="AG578" s="92">
        <f t="shared" si="256"/>
        <v>27</v>
      </c>
      <c r="AI578" s="100">
        <v>26</v>
      </c>
      <c r="AJ578" s="103" t="s">
        <v>878</v>
      </c>
      <c r="AK578" s="106">
        <v>30</v>
      </c>
    </row>
    <row r="579" spans="1:37" x14ac:dyDescent="0.2">
      <c r="A579" s="14">
        <v>579</v>
      </c>
      <c r="C579" s="101">
        <f>I578+1</f>
        <v>26</v>
      </c>
      <c r="D579" s="91">
        <f t="shared" si="257"/>
        <v>27</v>
      </c>
      <c r="E579" s="91">
        <f t="shared" si="257"/>
        <v>28</v>
      </c>
      <c r="F579" s="91">
        <f t="shared" si="257"/>
        <v>29</v>
      </c>
      <c r="G579" s="91">
        <f>F579+1</f>
        <v>30</v>
      </c>
      <c r="H579" s="91"/>
      <c r="I579" s="92"/>
      <c r="K579" s="122">
        <v>18</v>
      </c>
      <c r="L579" s="111"/>
      <c r="M579" s="127"/>
      <c r="N579" s="4"/>
      <c r="O579" s="101">
        <f>U578+1</f>
        <v>24</v>
      </c>
      <c r="P579" s="125">
        <f t="shared" si="258"/>
        <v>25</v>
      </c>
      <c r="Q579" s="401">
        <f t="shared" si="258"/>
        <v>26</v>
      </c>
      <c r="R579" s="401">
        <f t="shared" si="258"/>
        <v>27</v>
      </c>
      <c r="S579" s="401">
        <f>R579+1</f>
        <v>28</v>
      </c>
      <c r="T579" s="401">
        <f>S579+1</f>
        <v>29</v>
      </c>
      <c r="U579" s="92">
        <f>T579+1</f>
        <v>30</v>
      </c>
      <c r="W579" s="100">
        <v>22</v>
      </c>
      <c r="X579" s="111"/>
      <c r="Y579" s="128"/>
      <c r="Z579" s="4"/>
      <c r="AA579" s="101">
        <f>AG578+1</f>
        <v>28</v>
      </c>
      <c r="AB579" s="125">
        <f>AA579+1</f>
        <v>29</v>
      </c>
      <c r="AC579" s="125">
        <f>AB579+1</f>
        <v>30</v>
      </c>
      <c r="AD579" s="125"/>
      <c r="AE579" s="125"/>
      <c r="AF579" s="129"/>
      <c r="AG579" s="114"/>
      <c r="AI579" s="100">
        <v>27</v>
      </c>
      <c r="AJ579" s="111"/>
      <c r="AK579" s="112"/>
    </row>
    <row r="580" spans="1:37" x14ac:dyDescent="0.2">
      <c r="A580" s="14">
        <v>580</v>
      </c>
      <c r="C580" s="101"/>
      <c r="D580" s="91"/>
      <c r="E580" s="113"/>
      <c r="F580" s="113"/>
      <c r="G580" s="113"/>
      <c r="H580" s="113"/>
      <c r="I580" s="114"/>
      <c r="K580" s="122"/>
      <c r="L580" s="111"/>
      <c r="M580" s="121"/>
      <c r="N580" s="4"/>
      <c r="O580" s="101">
        <f>U579+1</f>
        <v>31</v>
      </c>
      <c r="P580" s="125"/>
      <c r="Q580" s="401"/>
      <c r="R580" s="401"/>
      <c r="S580" s="401"/>
      <c r="T580" s="129"/>
      <c r="U580" s="114"/>
      <c r="W580" s="100">
        <v>23</v>
      </c>
      <c r="X580" s="111"/>
      <c r="Y580" s="4"/>
      <c r="Z580" s="4"/>
      <c r="AA580" s="101"/>
      <c r="AB580" s="125"/>
      <c r="AC580" s="125"/>
      <c r="AD580" s="129"/>
      <c r="AE580" s="129"/>
      <c r="AF580" s="129"/>
      <c r="AG580" s="114"/>
      <c r="AI580" s="100"/>
      <c r="AJ580" s="111"/>
      <c r="AK580" s="4"/>
    </row>
    <row r="581" spans="1:37" x14ac:dyDescent="0.2">
      <c r="A581" s="14">
        <v>581</v>
      </c>
      <c r="C581" s="88"/>
      <c r="D581" s="88"/>
      <c r="E581" s="88"/>
      <c r="F581" s="88"/>
      <c r="G581" s="88"/>
      <c r="H581" s="88"/>
      <c r="I581" s="88"/>
      <c r="K581" s="117"/>
      <c r="L581" s="111"/>
      <c r="M581" s="121"/>
      <c r="N581" s="4"/>
      <c r="O581" s="88"/>
      <c r="P581" s="88"/>
      <c r="Q581" s="88"/>
      <c r="R581" s="88"/>
      <c r="S581" s="88"/>
      <c r="T581" s="88"/>
      <c r="U581" s="88"/>
      <c r="W581" s="119"/>
      <c r="X581" s="111"/>
      <c r="Y581" s="4"/>
      <c r="Z581" s="4"/>
      <c r="AA581" s="4"/>
      <c r="AB581" s="4"/>
      <c r="AC581" s="4"/>
      <c r="AD581" s="4"/>
      <c r="AE581" s="4"/>
      <c r="AF581" s="4"/>
      <c r="AG581" s="4"/>
      <c r="AI581" s="120"/>
      <c r="AJ581" s="111"/>
      <c r="AK581" s="4"/>
    </row>
    <row r="582" spans="1:37" x14ac:dyDescent="0.2">
      <c r="A582" s="14">
        <v>582</v>
      </c>
      <c r="C582" s="404" t="s">
        <v>1059</v>
      </c>
      <c r="D582" s="88"/>
      <c r="E582" s="88"/>
      <c r="F582" s="88"/>
      <c r="G582" s="88"/>
      <c r="H582" s="88"/>
      <c r="I582" s="88"/>
      <c r="K582" s="117"/>
      <c r="L582" s="111"/>
      <c r="M582" s="121"/>
      <c r="N582" s="4"/>
      <c r="O582" s="404" t="s">
        <v>1060</v>
      </c>
      <c r="P582" s="88"/>
      <c r="Q582" s="88"/>
      <c r="R582" s="88"/>
      <c r="S582" s="88"/>
      <c r="T582" s="88"/>
      <c r="U582" s="88"/>
      <c r="W582" s="119"/>
      <c r="X582" s="111"/>
      <c r="Y582" s="4"/>
      <c r="Z582" s="4"/>
      <c r="AA582" s="404" t="s">
        <v>1061</v>
      </c>
      <c r="AB582" s="88"/>
      <c r="AC582" s="88"/>
      <c r="AD582" s="88"/>
      <c r="AE582" s="88"/>
      <c r="AF582" s="88"/>
      <c r="AG582" s="88"/>
      <c r="AI582" s="120"/>
      <c r="AJ582" s="111"/>
      <c r="AK582" s="4"/>
    </row>
    <row r="583" spans="1:37" x14ac:dyDescent="0.2">
      <c r="A583" s="14">
        <v>583</v>
      </c>
      <c r="C583" s="55" t="s">
        <v>3</v>
      </c>
      <c r="D583" s="55" t="s">
        <v>177</v>
      </c>
      <c r="E583" s="55" t="s">
        <v>178</v>
      </c>
      <c r="F583" s="55" t="s">
        <v>178</v>
      </c>
      <c r="G583" s="55" t="s">
        <v>9</v>
      </c>
      <c r="H583" s="55" t="s">
        <v>857</v>
      </c>
      <c r="I583" s="55" t="s">
        <v>854</v>
      </c>
      <c r="K583" s="56" t="s">
        <v>877</v>
      </c>
      <c r="L583" s="111"/>
      <c r="M583" s="121"/>
      <c r="N583" s="4"/>
      <c r="O583" s="55" t="s">
        <v>3</v>
      </c>
      <c r="P583" s="55" t="s">
        <v>177</v>
      </c>
      <c r="Q583" s="55" t="s">
        <v>178</v>
      </c>
      <c r="R583" s="55" t="s">
        <v>178</v>
      </c>
      <c r="S583" s="55" t="s">
        <v>9</v>
      </c>
      <c r="T583" s="55" t="s">
        <v>857</v>
      </c>
      <c r="U583" s="55" t="s">
        <v>854</v>
      </c>
      <c r="W583" s="56" t="s">
        <v>877</v>
      </c>
      <c r="X583" s="111"/>
      <c r="Y583" s="4"/>
      <c r="Z583" s="4"/>
      <c r="AA583" s="55" t="s">
        <v>3</v>
      </c>
      <c r="AB583" s="55" t="s">
        <v>177</v>
      </c>
      <c r="AC583" s="55" t="s">
        <v>178</v>
      </c>
      <c r="AD583" s="55" t="s">
        <v>178</v>
      </c>
      <c r="AE583" s="55" t="s">
        <v>9</v>
      </c>
      <c r="AF583" s="55" t="s">
        <v>857</v>
      </c>
      <c r="AG583" s="55" t="s">
        <v>854</v>
      </c>
      <c r="AI583" s="56" t="s">
        <v>877</v>
      </c>
      <c r="AJ583" s="111"/>
      <c r="AK583" s="4"/>
    </row>
    <row r="584" spans="1:37" x14ac:dyDescent="0.2">
      <c r="A584" s="14">
        <v>584</v>
      </c>
      <c r="C584" s="58"/>
      <c r="D584" s="408" t="s">
        <v>185</v>
      </c>
      <c r="E584" s="130"/>
      <c r="F584" s="97">
        <v>1</v>
      </c>
      <c r="G584" s="97">
        <f t="shared" ref="G584:I587" si="261">F584+1</f>
        <v>2</v>
      </c>
      <c r="H584" s="97">
        <f t="shared" si="261"/>
        <v>3</v>
      </c>
      <c r="I584" s="407">
        <f t="shared" si="261"/>
        <v>4</v>
      </c>
      <c r="K584" s="122">
        <v>27</v>
      </c>
      <c r="L584" s="94"/>
      <c r="M584" s="123"/>
      <c r="N584" s="4"/>
      <c r="O584" s="414" t="s">
        <v>185</v>
      </c>
      <c r="P584" s="125" t="s">
        <v>185</v>
      </c>
      <c r="Q584" s="125" t="s">
        <v>185</v>
      </c>
      <c r="R584" s="125" t="s">
        <v>185</v>
      </c>
      <c r="S584" s="125" t="s">
        <v>185</v>
      </c>
      <c r="T584" s="125" t="s">
        <v>185</v>
      </c>
      <c r="U584" s="92">
        <v>1</v>
      </c>
      <c r="W584" s="100">
        <v>31</v>
      </c>
      <c r="X584" s="94"/>
      <c r="Y584" s="49"/>
      <c r="Z584" s="4"/>
      <c r="AA584" s="414" t="s">
        <v>185</v>
      </c>
      <c r="AB584" s="125" t="s">
        <v>185</v>
      </c>
      <c r="AC584" s="125">
        <v>1</v>
      </c>
      <c r="AD584" s="125">
        <f t="shared" ref="AD584:AG587" si="262">AC584+1</f>
        <v>2</v>
      </c>
      <c r="AE584" s="125">
        <f t="shared" si="262"/>
        <v>3</v>
      </c>
      <c r="AF584" s="125">
        <f t="shared" si="262"/>
        <v>4</v>
      </c>
      <c r="AG584" s="92">
        <f t="shared" si="262"/>
        <v>5</v>
      </c>
      <c r="AI584" s="100">
        <v>36</v>
      </c>
      <c r="AJ584" s="94"/>
      <c r="AK584" s="49"/>
    </row>
    <row r="585" spans="1:37" x14ac:dyDescent="0.2">
      <c r="A585" s="14">
        <v>585</v>
      </c>
      <c r="C585" s="101">
        <f>I584+1</f>
        <v>5</v>
      </c>
      <c r="D585" s="130">
        <f t="shared" ref="D585:F588" si="263">C585+1</f>
        <v>6</v>
      </c>
      <c r="E585" s="97">
        <f t="shared" si="263"/>
        <v>7</v>
      </c>
      <c r="F585" s="97">
        <f t="shared" si="263"/>
        <v>8</v>
      </c>
      <c r="G585" s="125">
        <f t="shared" si="261"/>
        <v>9</v>
      </c>
      <c r="H585" s="125">
        <f t="shared" si="261"/>
        <v>10</v>
      </c>
      <c r="I585" s="92">
        <f t="shared" si="261"/>
        <v>11</v>
      </c>
      <c r="K585" s="122">
        <v>28</v>
      </c>
      <c r="L585" s="103" t="s">
        <v>418</v>
      </c>
      <c r="M585" s="126">
        <v>4</v>
      </c>
      <c r="N585" s="4"/>
      <c r="O585" s="101">
        <f>U584+1</f>
        <v>2</v>
      </c>
      <c r="P585" s="125">
        <f>O585+1</f>
        <v>3</v>
      </c>
      <c r="Q585" s="125">
        <f t="shared" ref="Q585:U588" si="264">P585+1</f>
        <v>4</v>
      </c>
      <c r="R585" s="125">
        <f t="shared" si="264"/>
        <v>5</v>
      </c>
      <c r="S585" s="125">
        <f t="shared" si="264"/>
        <v>6</v>
      </c>
      <c r="T585" s="125">
        <f t="shared" si="264"/>
        <v>7</v>
      </c>
      <c r="U585" s="92">
        <f t="shared" si="264"/>
        <v>8</v>
      </c>
      <c r="W585" s="100">
        <v>32</v>
      </c>
      <c r="X585" s="103" t="s">
        <v>418</v>
      </c>
      <c r="Y585" s="106">
        <v>5</v>
      </c>
      <c r="Z585" s="4"/>
      <c r="AA585" s="101">
        <f>AG584+1</f>
        <v>6</v>
      </c>
      <c r="AB585" s="125">
        <f t="shared" ref="AB585:AC588" si="265">AA585+1</f>
        <v>7</v>
      </c>
      <c r="AC585" s="125">
        <f t="shared" si="265"/>
        <v>8</v>
      </c>
      <c r="AD585" s="125">
        <f t="shared" si="262"/>
        <v>9</v>
      </c>
      <c r="AE585" s="125">
        <f t="shared" si="262"/>
        <v>10</v>
      </c>
      <c r="AF585" s="125">
        <f t="shared" si="262"/>
        <v>11</v>
      </c>
      <c r="AG585" s="92">
        <f t="shared" si="262"/>
        <v>12</v>
      </c>
      <c r="AI585" s="100">
        <v>37</v>
      </c>
      <c r="AJ585" s="103" t="s">
        <v>418</v>
      </c>
      <c r="AK585" s="106">
        <v>4</v>
      </c>
    </row>
    <row r="586" spans="1:37" x14ac:dyDescent="0.2">
      <c r="A586" s="14">
        <v>586</v>
      </c>
      <c r="C586" s="101">
        <f>I585+1</f>
        <v>12</v>
      </c>
      <c r="D586" s="125">
        <f t="shared" si="263"/>
        <v>13</v>
      </c>
      <c r="E586" s="125">
        <f t="shared" si="263"/>
        <v>14</v>
      </c>
      <c r="F586" s="125">
        <f t="shared" si="263"/>
        <v>15</v>
      </c>
      <c r="G586" s="125">
        <f t="shared" si="261"/>
        <v>16</v>
      </c>
      <c r="H586" s="125">
        <f t="shared" si="261"/>
        <v>17</v>
      </c>
      <c r="I586" s="92">
        <f t="shared" si="261"/>
        <v>18</v>
      </c>
      <c r="K586" s="122">
        <v>29</v>
      </c>
      <c r="L586" s="103" t="s">
        <v>425</v>
      </c>
      <c r="M586" s="126">
        <v>4</v>
      </c>
      <c r="N586" s="4"/>
      <c r="O586" s="101">
        <f>U585+1</f>
        <v>9</v>
      </c>
      <c r="P586" s="125">
        <f>O586+1</f>
        <v>10</v>
      </c>
      <c r="Q586" s="125">
        <f t="shared" si="264"/>
        <v>11</v>
      </c>
      <c r="R586" s="125">
        <f t="shared" si="264"/>
        <v>12</v>
      </c>
      <c r="S586" s="125">
        <f t="shared" si="264"/>
        <v>13</v>
      </c>
      <c r="T586" s="125">
        <f t="shared" si="264"/>
        <v>14</v>
      </c>
      <c r="U586" s="92">
        <f t="shared" si="264"/>
        <v>15</v>
      </c>
      <c r="W586" s="100">
        <v>33</v>
      </c>
      <c r="X586" s="103" t="s">
        <v>425</v>
      </c>
      <c r="Y586" s="106">
        <v>5</v>
      </c>
      <c r="Z586" s="4"/>
      <c r="AA586" s="101">
        <f>AG585+1</f>
        <v>13</v>
      </c>
      <c r="AB586" s="125">
        <f t="shared" si="265"/>
        <v>14</v>
      </c>
      <c r="AC586" s="125">
        <f t="shared" si="265"/>
        <v>15</v>
      </c>
      <c r="AD586" s="125">
        <f t="shared" si="262"/>
        <v>16</v>
      </c>
      <c r="AE586" s="125">
        <f t="shared" si="262"/>
        <v>17</v>
      </c>
      <c r="AF586" s="125">
        <f t="shared" si="262"/>
        <v>18</v>
      </c>
      <c r="AG586" s="92">
        <f t="shared" si="262"/>
        <v>19</v>
      </c>
      <c r="AI586" s="100">
        <v>38</v>
      </c>
      <c r="AJ586" s="103" t="s">
        <v>425</v>
      </c>
      <c r="AK586" s="106">
        <v>4</v>
      </c>
    </row>
    <row r="587" spans="1:37" x14ac:dyDescent="0.2">
      <c r="A587" s="14">
        <v>587</v>
      </c>
      <c r="C587" s="101">
        <f>I586+1</f>
        <v>19</v>
      </c>
      <c r="D587" s="125">
        <f t="shared" si="263"/>
        <v>20</v>
      </c>
      <c r="E587" s="125">
        <f t="shared" si="263"/>
        <v>21</v>
      </c>
      <c r="F587" s="125">
        <f t="shared" si="263"/>
        <v>22</v>
      </c>
      <c r="G587" s="134">
        <f t="shared" si="261"/>
        <v>23</v>
      </c>
      <c r="H587" s="124">
        <f t="shared" si="261"/>
        <v>24</v>
      </c>
      <c r="I587" s="92">
        <f t="shared" si="261"/>
        <v>25</v>
      </c>
      <c r="K587" s="122">
        <v>30</v>
      </c>
      <c r="L587" s="103" t="s">
        <v>878</v>
      </c>
      <c r="M587" s="126">
        <v>31</v>
      </c>
      <c r="N587" s="4"/>
      <c r="O587" s="101">
        <f>U586+1</f>
        <v>16</v>
      </c>
      <c r="P587" s="125">
        <f>O587+1</f>
        <v>17</v>
      </c>
      <c r="Q587" s="125">
        <f t="shared" si="264"/>
        <v>18</v>
      </c>
      <c r="R587" s="125">
        <f t="shared" si="264"/>
        <v>19</v>
      </c>
      <c r="S587" s="125">
        <f t="shared" si="264"/>
        <v>20</v>
      </c>
      <c r="T587" s="125">
        <f t="shared" si="264"/>
        <v>21</v>
      </c>
      <c r="U587" s="92">
        <f t="shared" si="264"/>
        <v>22</v>
      </c>
      <c r="W587" s="100">
        <v>34</v>
      </c>
      <c r="X587" s="103" t="s">
        <v>878</v>
      </c>
      <c r="Y587" s="106">
        <v>31</v>
      </c>
      <c r="Z587" s="4"/>
      <c r="AA587" s="101">
        <f>AG586+1</f>
        <v>20</v>
      </c>
      <c r="AB587" s="125">
        <f t="shared" si="265"/>
        <v>21</v>
      </c>
      <c r="AC587" s="125">
        <f t="shared" si="265"/>
        <v>22</v>
      </c>
      <c r="AD587" s="125">
        <f t="shared" si="262"/>
        <v>23</v>
      </c>
      <c r="AE587" s="125">
        <f t="shared" si="262"/>
        <v>24</v>
      </c>
      <c r="AF587" s="125">
        <f t="shared" si="262"/>
        <v>25</v>
      </c>
      <c r="AG587" s="92">
        <f t="shared" si="262"/>
        <v>26</v>
      </c>
      <c r="AI587" s="100">
        <v>39</v>
      </c>
      <c r="AJ587" s="103" t="s">
        <v>878</v>
      </c>
      <c r="AK587" s="106">
        <v>30</v>
      </c>
    </row>
    <row r="588" spans="1:37" x14ac:dyDescent="0.2">
      <c r="A588" s="14">
        <v>588</v>
      </c>
      <c r="C588" s="101">
        <f>I587+1</f>
        <v>26</v>
      </c>
      <c r="D588" s="134">
        <f t="shared" si="263"/>
        <v>27</v>
      </c>
      <c r="E588" s="125">
        <f t="shared" si="263"/>
        <v>28</v>
      </c>
      <c r="F588" s="125">
        <f t="shared" si="263"/>
        <v>29</v>
      </c>
      <c r="G588" s="125">
        <f>F588+1</f>
        <v>30</v>
      </c>
      <c r="H588" s="125">
        <f>G588+1</f>
        <v>31</v>
      </c>
      <c r="I588" s="92"/>
      <c r="K588" s="122">
        <v>31</v>
      </c>
      <c r="L588" s="111"/>
      <c r="M588" s="127"/>
      <c r="N588" s="4"/>
      <c r="O588" s="101">
        <f>U587+1</f>
        <v>23</v>
      </c>
      <c r="P588" s="125">
        <f>O588+1</f>
        <v>24</v>
      </c>
      <c r="Q588" s="125">
        <f t="shared" si="264"/>
        <v>25</v>
      </c>
      <c r="R588" s="125">
        <f t="shared" si="264"/>
        <v>26</v>
      </c>
      <c r="S588" s="125">
        <f t="shared" si="264"/>
        <v>27</v>
      </c>
      <c r="T588" s="125">
        <f t="shared" si="264"/>
        <v>28</v>
      </c>
      <c r="U588" s="92">
        <f t="shared" si="264"/>
        <v>29</v>
      </c>
      <c r="W588" s="100">
        <v>35</v>
      </c>
      <c r="X588" s="111"/>
      <c r="Y588" s="112"/>
      <c r="Z588" s="4"/>
      <c r="AA588" s="101">
        <f>AG587+1</f>
        <v>27</v>
      </c>
      <c r="AB588" s="125">
        <f t="shared" si="265"/>
        <v>28</v>
      </c>
      <c r="AC588" s="125">
        <f t="shared" si="265"/>
        <v>29</v>
      </c>
      <c r="AD588" s="415">
        <f>AC588+1</f>
        <v>30</v>
      </c>
      <c r="AE588" s="415"/>
      <c r="AF588" s="415"/>
      <c r="AG588" s="114"/>
      <c r="AI588" s="413">
        <v>40</v>
      </c>
      <c r="AJ588" s="111"/>
      <c r="AK588" s="112"/>
    </row>
    <row r="589" spans="1:37" x14ac:dyDescent="0.2">
      <c r="A589" s="14">
        <v>589</v>
      </c>
      <c r="C589" s="101"/>
      <c r="D589" s="125"/>
      <c r="E589" s="401"/>
      <c r="F589" s="129"/>
      <c r="G589" s="129"/>
      <c r="H589" s="129"/>
      <c r="I589" s="114"/>
      <c r="K589" s="122"/>
      <c r="L589" s="111"/>
      <c r="M589" s="121"/>
      <c r="N589" s="4"/>
      <c r="O589" s="101">
        <f>U588+1</f>
        <v>30</v>
      </c>
      <c r="P589" s="125">
        <f>O589+1</f>
        <v>31</v>
      </c>
      <c r="Q589" s="125"/>
      <c r="R589" s="125"/>
      <c r="S589" s="125"/>
      <c r="T589" s="125"/>
      <c r="U589" s="92"/>
      <c r="W589" s="100">
        <v>36</v>
      </c>
      <c r="X589" s="111"/>
      <c r="Y589" s="4"/>
      <c r="Z589" s="4"/>
      <c r="AA589" s="101"/>
      <c r="AB589" s="125"/>
      <c r="AC589" s="125"/>
      <c r="AD589" s="129"/>
      <c r="AE589" s="129"/>
      <c r="AF589" s="129"/>
      <c r="AG589" s="114"/>
      <c r="AI589" s="413"/>
      <c r="AJ589" s="111"/>
      <c r="AK589" s="4"/>
    </row>
    <row r="590" spans="1:37" x14ac:dyDescent="0.2">
      <c r="A590" s="14">
        <v>590</v>
      </c>
      <c r="C590" s="88"/>
      <c r="D590" s="88"/>
      <c r="E590" s="88"/>
      <c r="F590" s="88"/>
      <c r="G590" s="88"/>
      <c r="H590" s="88"/>
      <c r="I590" s="88"/>
      <c r="K590" s="117"/>
      <c r="L590" s="111"/>
      <c r="M590" s="121"/>
      <c r="N590" s="4"/>
      <c r="O590" s="88"/>
      <c r="P590" s="88"/>
      <c r="Q590" s="88"/>
      <c r="R590" s="88"/>
      <c r="S590" s="88"/>
      <c r="T590" s="88"/>
      <c r="U590" s="88"/>
      <c r="W590" s="119"/>
      <c r="X590" s="111"/>
      <c r="Y590" s="4"/>
      <c r="Z590" s="4"/>
      <c r="AA590" s="4"/>
      <c r="AB590" s="4"/>
      <c r="AC590" s="4"/>
      <c r="AD590" s="4"/>
      <c r="AE590" s="4"/>
      <c r="AF590" s="4"/>
      <c r="AG590" s="4"/>
      <c r="AI590" s="120"/>
      <c r="AJ590" s="111"/>
      <c r="AK590" s="4"/>
    </row>
    <row r="591" spans="1:37" x14ac:dyDescent="0.2">
      <c r="A591" s="14">
        <v>591</v>
      </c>
      <c r="C591" s="404" t="s">
        <v>1062</v>
      </c>
      <c r="D591" s="88"/>
      <c r="E591" s="88"/>
      <c r="F591" s="88"/>
      <c r="G591" s="88"/>
      <c r="H591" s="88"/>
      <c r="I591" s="88"/>
      <c r="K591" s="117"/>
      <c r="L591" s="111"/>
      <c r="M591" s="121"/>
      <c r="N591" s="4"/>
      <c r="O591" s="404" t="s">
        <v>1063</v>
      </c>
      <c r="P591" s="88"/>
      <c r="Q591" s="88"/>
      <c r="R591" s="88"/>
      <c r="S591" s="88"/>
      <c r="T591" s="88"/>
      <c r="U591" s="88"/>
      <c r="W591" s="119"/>
      <c r="X591" s="111"/>
      <c r="Y591" s="4"/>
      <c r="Z591" s="4"/>
      <c r="AA591" s="404" t="s">
        <v>1064</v>
      </c>
      <c r="AB591" s="88"/>
      <c r="AC591" s="88"/>
      <c r="AD591" s="88"/>
      <c r="AE591" s="88"/>
      <c r="AF591" s="88"/>
      <c r="AG591" s="88"/>
      <c r="AI591" s="120"/>
      <c r="AJ591" s="111"/>
      <c r="AK591" s="4"/>
    </row>
    <row r="592" spans="1:37" x14ac:dyDescent="0.2">
      <c r="A592" s="14">
        <v>592</v>
      </c>
      <c r="C592" s="55" t="s">
        <v>3</v>
      </c>
      <c r="D592" s="55" t="s">
        <v>177</v>
      </c>
      <c r="E592" s="55" t="s">
        <v>178</v>
      </c>
      <c r="F592" s="55" t="s">
        <v>178</v>
      </c>
      <c r="G592" s="55" t="s">
        <v>9</v>
      </c>
      <c r="H592" s="55" t="s">
        <v>857</v>
      </c>
      <c r="I592" s="55" t="s">
        <v>854</v>
      </c>
      <c r="K592" s="56" t="s">
        <v>877</v>
      </c>
      <c r="L592" s="111"/>
      <c r="M592" s="121"/>
      <c r="N592" s="4"/>
      <c r="O592" s="55" t="s">
        <v>3</v>
      </c>
      <c r="P592" s="55" t="s">
        <v>177</v>
      </c>
      <c r="Q592" s="55" t="s">
        <v>178</v>
      </c>
      <c r="R592" s="55" t="s">
        <v>178</v>
      </c>
      <c r="S592" s="55" t="s">
        <v>9</v>
      </c>
      <c r="T592" s="55" t="s">
        <v>857</v>
      </c>
      <c r="U592" s="55" t="s">
        <v>854</v>
      </c>
      <c r="W592" s="56" t="s">
        <v>877</v>
      </c>
      <c r="X592" s="111"/>
      <c r="Y592" s="4"/>
      <c r="Z592" s="4"/>
      <c r="AA592" s="55" t="s">
        <v>3</v>
      </c>
      <c r="AB592" s="55" t="s">
        <v>177</v>
      </c>
      <c r="AC592" s="55" t="s">
        <v>178</v>
      </c>
      <c r="AD592" s="55" t="s">
        <v>178</v>
      </c>
      <c r="AE592" s="55" t="s">
        <v>9</v>
      </c>
      <c r="AF592" s="55" t="s">
        <v>857</v>
      </c>
      <c r="AG592" s="55" t="s">
        <v>854</v>
      </c>
      <c r="AI592" s="56" t="s">
        <v>877</v>
      </c>
      <c r="AJ592" s="111"/>
      <c r="AK592" s="4"/>
    </row>
    <row r="593" spans="1:37" x14ac:dyDescent="0.2">
      <c r="A593" s="14">
        <v>593</v>
      </c>
      <c r="C593" s="101"/>
      <c r="D593" s="125"/>
      <c r="E593" s="125" t="s">
        <v>185</v>
      </c>
      <c r="F593" s="125"/>
      <c r="G593" s="125">
        <v>1</v>
      </c>
      <c r="H593" s="125">
        <f t="shared" ref="G593:H597" si="266">G593+1</f>
        <v>2</v>
      </c>
      <c r="I593" s="92">
        <f>H593+1</f>
        <v>3</v>
      </c>
      <c r="K593" s="122">
        <v>40</v>
      </c>
      <c r="L593" s="94"/>
      <c r="M593" s="123"/>
      <c r="N593" s="4"/>
      <c r="O593" s="414">
        <v>1</v>
      </c>
      <c r="P593" s="125">
        <f t="shared" ref="P593:Q596" si="267">O593+1</f>
        <v>2</v>
      </c>
      <c r="Q593" s="125">
        <f t="shared" si="267"/>
        <v>3</v>
      </c>
      <c r="R593" s="125">
        <f t="shared" ref="R593:U596" si="268">Q593+1</f>
        <v>4</v>
      </c>
      <c r="S593" s="125">
        <f t="shared" si="268"/>
        <v>5</v>
      </c>
      <c r="T593" s="125">
        <f t="shared" si="268"/>
        <v>6</v>
      </c>
      <c r="U593" s="92">
        <f t="shared" si="268"/>
        <v>7</v>
      </c>
      <c r="W593" s="100">
        <v>45</v>
      </c>
      <c r="X593" s="94"/>
      <c r="Y593" s="49"/>
      <c r="Z593" s="4"/>
      <c r="AA593" s="414" t="s">
        <v>185</v>
      </c>
      <c r="AB593" s="125"/>
      <c r="AC593" s="125">
        <v>1</v>
      </c>
      <c r="AD593" s="125">
        <f t="shared" ref="AD593:AE597" si="269">AC593+1</f>
        <v>2</v>
      </c>
      <c r="AE593" s="125">
        <f t="shared" si="269"/>
        <v>3</v>
      </c>
      <c r="AF593" s="125">
        <f t="shared" ref="AF593:AG596" si="270">AE593+1</f>
        <v>4</v>
      </c>
      <c r="AG593" s="92">
        <f t="shared" si="270"/>
        <v>5</v>
      </c>
      <c r="AI593" s="100">
        <v>49</v>
      </c>
      <c r="AJ593" s="94"/>
      <c r="AK593" s="152"/>
    </row>
    <row r="594" spans="1:37" x14ac:dyDescent="0.2">
      <c r="A594" s="14">
        <v>594</v>
      </c>
      <c r="C594" s="101">
        <f>I593+1</f>
        <v>4</v>
      </c>
      <c r="D594" s="124">
        <f t="shared" ref="D594:F597" si="271">C594+1</f>
        <v>5</v>
      </c>
      <c r="E594" s="131">
        <f t="shared" si="271"/>
        <v>6</v>
      </c>
      <c r="F594" s="125">
        <f t="shared" si="271"/>
        <v>7</v>
      </c>
      <c r="G594" s="125">
        <f t="shared" si="266"/>
        <v>8</v>
      </c>
      <c r="H594" s="125">
        <f>G594+1</f>
        <v>9</v>
      </c>
      <c r="I594" s="92">
        <f>H594+1</f>
        <v>10</v>
      </c>
      <c r="K594" s="122">
        <v>41</v>
      </c>
      <c r="L594" s="103" t="s">
        <v>418</v>
      </c>
      <c r="M594" s="126">
        <v>4</v>
      </c>
      <c r="N594" s="4"/>
      <c r="O594" s="101">
        <f>U593+1</f>
        <v>8</v>
      </c>
      <c r="P594" s="125">
        <f>O594+1</f>
        <v>9</v>
      </c>
      <c r="Q594" s="125">
        <f t="shared" si="267"/>
        <v>10</v>
      </c>
      <c r="R594" s="125">
        <f t="shared" si="268"/>
        <v>11</v>
      </c>
      <c r="S594" s="125">
        <f t="shared" si="268"/>
        <v>12</v>
      </c>
      <c r="T594" s="125">
        <f t="shared" si="268"/>
        <v>13</v>
      </c>
      <c r="U594" s="92">
        <f t="shared" si="268"/>
        <v>14</v>
      </c>
      <c r="W594" s="100">
        <v>46</v>
      </c>
      <c r="X594" s="103" t="s">
        <v>418</v>
      </c>
      <c r="Y594" s="106">
        <v>5</v>
      </c>
      <c r="Z594" s="4"/>
      <c r="AA594" s="101">
        <f>AG593+1</f>
        <v>6</v>
      </c>
      <c r="AB594" s="125">
        <f t="shared" ref="AB594:AC597" si="272">AA594+1</f>
        <v>7</v>
      </c>
      <c r="AC594" s="125">
        <f t="shared" si="272"/>
        <v>8</v>
      </c>
      <c r="AD594" s="125">
        <f t="shared" si="269"/>
        <v>9</v>
      </c>
      <c r="AE594" s="125">
        <f t="shared" si="269"/>
        <v>10</v>
      </c>
      <c r="AF594" s="125">
        <f t="shared" si="270"/>
        <v>11</v>
      </c>
      <c r="AG594" s="92">
        <f t="shared" si="270"/>
        <v>12</v>
      </c>
      <c r="AI594" s="100">
        <v>50</v>
      </c>
      <c r="AJ594" s="103" t="s">
        <v>418</v>
      </c>
      <c r="AK594" s="106">
        <v>4</v>
      </c>
    </row>
    <row r="595" spans="1:37" x14ac:dyDescent="0.2">
      <c r="A595" s="14">
        <v>595</v>
      </c>
      <c r="C595" s="101">
        <f>I594+1</f>
        <v>11</v>
      </c>
      <c r="D595" s="125">
        <f t="shared" si="271"/>
        <v>12</v>
      </c>
      <c r="E595" s="125">
        <f t="shared" si="271"/>
        <v>13</v>
      </c>
      <c r="F595" s="125">
        <f t="shared" si="271"/>
        <v>14</v>
      </c>
      <c r="G595" s="125">
        <f t="shared" si="266"/>
        <v>15</v>
      </c>
      <c r="H595" s="125">
        <f>G595+1</f>
        <v>16</v>
      </c>
      <c r="I595" s="92">
        <f>H595+1</f>
        <v>17</v>
      </c>
      <c r="K595" s="122">
        <v>42</v>
      </c>
      <c r="L595" s="103" t="s">
        <v>425</v>
      </c>
      <c r="M595" s="126">
        <v>5</v>
      </c>
      <c r="N595" s="4"/>
      <c r="O595" s="101">
        <f>U594+1</f>
        <v>15</v>
      </c>
      <c r="P595" s="125">
        <f>O595+1</f>
        <v>16</v>
      </c>
      <c r="Q595" s="125">
        <f t="shared" si="267"/>
        <v>17</v>
      </c>
      <c r="R595" s="125">
        <f t="shared" si="268"/>
        <v>18</v>
      </c>
      <c r="S595" s="125">
        <f t="shared" si="268"/>
        <v>19</v>
      </c>
      <c r="T595" s="125">
        <f t="shared" si="268"/>
        <v>20</v>
      </c>
      <c r="U595" s="92">
        <f t="shared" si="268"/>
        <v>21</v>
      </c>
      <c r="W595" s="100">
        <v>47</v>
      </c>
      <c r="X595" s="103" t="s">
        <v>425</v>
      </c>
      <c r="Y595" s="106">
        <v>4</v>
      </c>
      <c r="Z595" s="4"/>
      <c r="AA595" s="101">
        <f>AG594+1</f>
        <v>13</v>
      </c>
      <c r="AB595" s="125">
        <f t="shared" si="272"/>
        <v>14</v>
      </c>
      <c r="AC595" s="125">
        <f t="shared" si="272"/>
        <v>15</v>
      </c>
      <c r="AD595" s="125">
        <f t="shared" si="269"/>
        <v>16</v>
      </c>
      <c r="AE595" s="125">
        <f t="shared" si="269"/>
        <v>17</v>
      </c>
      <c r="AF595" s="124">
        <f t="shared" si="270"/>
        <v>18</v>
      </c>
      <c r="AG595" s="92">
        <f t="shared" si="270"/>
        <v>19</v>
      </c>
      <c r="AI595" s="100">
        <v>51</v>
      </c>
      <c r="AJ595" s="103" t="s">
        <v>425</v>
      </c>
      <c r="AK595" s="106">
        <v>4</v>
      </c>
    </row>
    <row r="596" spans="1:37" x14ac:dyDescent="0.2">
      <c r="A596" s="14">
        <v>596</v>
      </c>
      <c r="C596" s="101">
        <f>I595+1</f>
        <v>18</v>
      </c>
      <c r="D596" s="125">
        <f t="shared" si="271"/>
        <v>19</v>
      </c>
      <c r="E596" s="125">
        <f t="shared" si="271"/>
        <v>20</v>
      </c>
      <c r="F596" s="125">
        <f t="shared" si="271"/>
        <v>21</v>
      </c>
      <c r="G596" s="125">
        <f t="shared" si="266"/>
        <v>22</v>
      </c>
      <c r="H596" s="125">
        <f>G596+1</f>
        <v>23</v>
      </c>
      <c r="I596" s="92">
        <f>H596+1</f>
        <v>24</v>
      </c>
      <c r="K596" s="122">
        <v>43</v>
      </c>
      <c r="L596" s="103" t="s">
        <v>878</v>
      </c>
      <c r="M596" s="126">
        <v>31</v>
      </c>
      <c r="N596" s="4"/>
      <c r="O596" s="101">
        <f>U595+1</f>
        <v>22</v>
      </c>
      <c r="P596" s="125">
        <f>O596+1</f>
        <v>23</v>
      </c>
      <c r="Q596" s="125">
        <f t="shared" si="267"/>
        <v>24</v>
      </c>
      <c r="R596" s="125">
        <f t="shared" si="268"/>
        <v>25</v>
      </c>
      <c r="S596" s="125">
        <f t="shared" si="268"/>
        <v>26</v>
      </c>
      <c r="T596" s="125">
        <f t="shared" si="268"/>
        <v>27</v>
      </c>
      <c r="U596" s="92">
        <f t="shared" si="268"/>
        <v>28</v>
      </c>
      <c r="W596" s="100">
        <v>48</v>
      </c>
      <c r="X596" s="103" t="s">
        <v>878</v>
      </c>
      <c r="Y596" s="106">
        <v>30</v>
      </c>
      <c r="Z596" s="4"/>
      <c r="AA596" s="101">
        <f>AG595+1</f>
        <v>20</v>
      </c>
      <c r="AB596" s="125">
        <f t="shared" si="272"/>
        <v>21</v>
      </c>
      <c r="AC596" s="125">
        <f t="shared" si="272"/>
        <v>22</v>
      </c>
      <c r="AD596" s="125">
        <f t="shared" si="269"/>
        <v>23</v>
      </c>
      <c r="AE596" s="125">
        <f t="shared" si="269"/>
        <v>24</v>
      </c>
      <c r="AF596" s="125">
        <f t="shared" si="270"/>
        <v>25</v>
      </c>
      <c r="AG596" s="92">
        <f t="shared" si="270"/>
        <v>26</v>
      </c>
      <c r="AI596" s="100">
        <v>52</v>
      </c>
      <c r="AJ596" s="103" t="s">
        <v>878</v>
      </c>
      <c r="AK596" s="106">
        <v>31</v>
      </c>
    </row>
    <row r="597" spans="1:37" x14ac:dyDescent="0.2">
      <c r="A597" s="14">
        <v>597</v>
      </c>
      <c r="C597" s="101">
        <f>I596+1</f>
        <v>25</v>
      </c>
      <c r="D597" s="125">
        <f t="shared" si="271"/>
        <v>26</v>
      </c>
      <c r="E597" s="125">
        <f t="shared" si="271"/>
        <v>27</v>
      </c>
      <c r="F597" s="125">
        <f t="shared" si="271"/>
        <v>28</v>
      </c>
      <c r="G597" s="125">
        <f t="shared" si="266"/>
        <v>29</v>
      </c>
      <c r="H597" s="125">
        <f>G597+1</f>
        <v>30</v>
      </c>
      <c r="I597" s="417">
        <f>H597+1</f>
        <v>31</v>
      </c>
      <c r="K597" s="122">
        <v>44</v>
      </c>
      <c r="L597" s="4"/>
      <c r="M597" s="112"/>
      <c r="N597" s="4"/>
      <c r="O597" s="101">
        <f>U596+1</f>
        <v>29</v>
      </c>
      <c r="P597" s="125">
        <f>O597+1</f>
        <v>30</v>
      </c>
      <c r="Q597" s="125"/>
      <c r="R597" s="125"/>
      <c r="S597" s="129"/>
      <c r="T597" s="129"/>
      <c r="U597" s="114"/>
      <c r="W597" s="100">
        <v>49</v>
      </c>
      <c r="X597" s="111"/>
      <c r="Y597" s="112"/>
      <c r="Z597" s="4"/>
      <c r="AA597" s="101">
        <f>AG596+1</f>
        <v>27</v>
      </c>
      <c r="AB597" s="125">
        <f t="shared" si="272"/>
        <v>28</v>
      </c>
      <c r="AC597" s="125">
        <f t="shared" si="272"/>
        <v>29</v>
      </c>
      <c r="AD597" s="125">
        <f t="shared" si="269"/>
        <v>30</v>
      </c>
      <c r="AE597" s="415">
        <f t="shared" si="269"/>
        <v>31</v>
      </c>
      <c r="AF597" s="415"/>
      <c r="AG597" s="417"/>
      <c r="AI597" s="255"/>
      <c r="AJ597" s="111"/>
      <c r="AK597" s="4"/>
    </row>
    <row r="598" spans="1:37" x14ac:dyDescent="0.2">
      <c r="A598" s="14">
        <v>598</v>
      </c>
      <c r="C598" s="414"/>
      <c r="D598" s="125"/>
      <c r="E598" s="125"/>
      <c r="F598" s="125"/>
      <c r="G598" s="125"/>
      <c r="H598" s="125"/>
      <c r="I598" s="114"/>
      <c r="K598" s="122"/>
      <c r="L598" s="4"/>
      <c r="M598" s="4"/>
      <c r="N598" s="4"/>
      <c r="O598" s="101"/>
      <c r="P598" s="125"/>
      <c r="Q598" s="129"/>
      <c r="R598" s="129"/>
      <c r="S598" s="129"/>
      <c r="T598" s="129"/>
      <c r="U598" s="114"/>
      <c r="V598" s="133"/>
      <c r="W598" s="100"/>
      <c r="X598" s="4"/>
      <c r="Y598" s="4"/>
      <c r="Z598" s="4"/>
      <c r="AA598" s="101"/>
      <c r="AB598" s="125"/>
      <c r="AC598" s="125"/>
      <c r="AD598" s="125"/>
      <c r="AE598" s="129"/>
      <c r="AF598" s="129"/>
      <c r="AG598" s="114"/>
      <c r="AI598" s="116"/>
      <c r="AJ598" s="4"/>
      <c r="AK598" s="4"/>
    </row>
    <row r="599" spans="1:37" x14ac:dyDescent="0.2">
      <c r="A599" s="14">
        <v>599</v>
      </c>
      <c r="C599" s="88"/>
      <c r="D599" s="88"/>
      <c r="E599" s="88"/>
      <c r="F599" s="88"/>
      <c r="G599" s="88"/>
      <c r="H599" s="88"/>
      <c r="I599" s="8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88"/>
      <c r="AB599" s="88"/>
      <c r="AC599" s="88"/>
      <c r="AD599" s="88"/>
      <c r="AE599" s="88"/>
      <c r="AF599" s="88"/>
      <c r="AG599" s="88"/>
      <c r="AH599" s="4"/>
      <c r="AI599" s="4"/>
      <c r="AJ599" s="4"/>
      <c r="AK599" s="4"/>
    </row>
    <row r="600" spans="1:37" ht="12.75" x14ac:dyDescent="0.2">
      <c r="A600" s="14">
        <v>600</v>
      </c>
      <c r="C600" s="157"/>
      <c r="D600" s="141"/>
      <c r="E600" s="141"/>
      <c r="F600" s="141"/>
      <c r="G600" s="141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1"/>
      <c r="S600" s="140"/>
      <c r="T600" s="140"/>
      <c r="U600" s="140"/>
      <c r="V600" s="140"/>
      <c r="W600" s="140"/>
      <c r="X600" s="142" t="s">
        <v>1065</v>
      </c>
      <c r="Y600" s="141"/>
      <c r="Z600" s="4"/>
      <c r="AA600" s="88"/>
      <c r="AB600" s="88"/>
      <c r="AC600" s="88"/>
      <c r="AD600" s="88"/>
      <c r="AH600" s="153" t="s">
        <v>888</v>
      </c>
      <c r="AI600" s="144">
        <f>(M567+Y567+AK567+M576+Y576+AK576+M585+Y585+AK585+M594+Y594+AK594)</f>
        <v>52</v>
      </c>
    </row>
    <row r="601" spans="1:37" x14ac:dyDescent="0.2">
      <c r="A601" s="14">
        <v>601</v>
      </c>
      <c r="Z601" s="4"/>
      <c r="AA601" s="88"/>
      <c r="AB601" s="88"/>
      <c r="AC601" s="88"/>
      <c r="AD601" s="88"/>
      <c r="AH601" s="153" t="s">
        <v>889</v>
      </c>
      <c r="AI601" s="145">
        <f>(M568+Y568+AK568+M577+Y577+AK577+M586+Y586+AK586+M595+Y595+AK595)</f>
        <v>52</v>
      </c>
    </row>
    <row r="602" spans="1:37" x14ac:dyDescent="0.2">
      <c r="A602" s="14">
        <v>602</v>
      </c>
      <c r="C602" s="135"/>
      <c r="H602" s="4"/>
      <c r="I602" s="4"/>
      <c r="J602" s="4"/>
      <c r="K602" s="4"/>
      <c r="L602" s="4"/>
      <c r="M602" s="4"/>
      <c r="N602" s="4"/>
      <c r="O602" s="4"/>
      <c r="P602" s="4"/>
      <c r="Q602" s="4"/>
      <c r="S602" s="4"/>
      <c r="T602" s="4"/>
      <c r="U602" s="4"/>
      <c r="V602" s="4"/>
      <c r="W602" s="4"/>
      <c r="Z602" s="4"/>
      <c r="AA602" s="88"/>
      <c r="AB602" s="88"/>
      <c r="AC602" s="88"/>
      <c r="AD602" s="88"/>
      <c r="AH602" s="153" t="s">
        <v>890</v>
      </c>
      <c r="AI602" s="154">
        <f>(M569+Y569+AK569+M578+Y578+AK578+M587+Y587+AK587+M596+Y596+AK596)</f>
        <v>366</v>
      </c>
      <c r="AJ602" s="147" t="str">
        <f>IF(AI602&gt;365,"BISIESTO","NORMAL")</f>
        <v>BISIESTO</v>
      </c>
    </row>
    <row r="603" spans="1:37" x14ac:dyDescent="0.2">
      <c r="A603" s="14">
        <v>603</v>
      </c>
      <c r="C603" s="135"/>
      <c r="H603" s="4"/>
      <c r="I603" s="4"/>
      <c r="J603" s="4"/>
      <c r="K603" s="4"/>
      <c r="L603" s="4"/>
      <c r="M603" s="4"/>
      <c r="N603" s="4"/>
      <c r="O603" s="4"/>
      <c r="P603" s="4"/>
      <c r="Q603" s="4"/>
      <c r="S603" s="4"/>
      <c r="T603" s="4"/>
      <c r="U603" s="4"/>
      <c r="V603" s="4"/>
      <c r="W603" s="4"/>
      <c r="Z603" s="4"/>
      <c r="AA603" s="88"/>
      <c r="AB603" s="88"/>
      <c r="AC603" s="88"/>
      <c r="AD603" s="88"/>
      <c r="AH603" s="153" t="s">
        <v>892</v>
      </c>
      <c r="AI603" s="149">
        <v>53</v>
      </c>
    </row>
    <row r="604" spans="1:37" x14ac:dyDescent="0.2">
      <c r="A604" s="14">
        <v>604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111"/>
  <sheetViews>
    <sheetView workbookViewId="0">
      <pane ySplit="675" topLeftCell="A19" activePane="bottomLeft"/>
      <selection activeCell="N1" sqref="N1:N65536"/>
      <selection pane="bottomLeft" activeCell="D50" sqref="D50"/>
    </sheetView>
  </sheetViews>
  <sheetFormatPr baseColWidth="10" defaultRowHeight="11.25" x14ac:dyDescent="0.2"/>
  <cols>
    <col min="2" max="2" width="75.1640625" style="484" customWidth="1"/>
    <col min="3" max="3" width="42.6640625" style="484" customWidth="1"/>
    <col min="4" max="7" width="12" style="480"/>
    <col min="8" max="8" width="12" style="187"/>
    <col min="9" max="9" width="12" style="556"/>
    <col min="10" max="10" width="15.1640625" style="560" bestFit="1" customWidth="1"/>
    <col min="11" max="11" width="12" style="60"/>
    <col min="12" max="12" width="12" style="563"/>
    <col min="13" max="13" width="12" style="396"/>
    <col min="14" max="14" width="12" style="244"/>
  </cols>
  <sheetData>
    <row r="1" spans="1:18" s="14" customFormat="1" x14ac:dyDescent="0.2">
      <c r="A1" s="57" t="s">
        <v>0</v>
      </c>
      <c r="B1" s="482" t="s">
        <v>164</v>
      </c>
      <c r="C1" s="482" t="s">
        <v>165</v>
      </c>
      <c r="D1" s="118" t="s">
        <v>166</v>
      </c>
      <c r="E1" s="118" t="s">
        <v>167</v>
      </c>
      <c r="F1" s="118" t="s">
        <v>168</v>
      </c>
      <c r="G1" s="118" t="s">
        <v>169</v>
      </c>
      <c r="H1" s="557" t="s">
        <v>170</v>
      </c>
      <c r="I1" s="558" t="s">
        <v>171</v>
      </c>
      <c r="J1" s="559" t="s">
        <v>172</v>
      </c>
      <c r="K1" s="561" t="s">
        <v>173</v>
      </c>
      <c r="L1" s="562" t="s">
        <v>174</v>
      </c>
      <c r="M1" s="565" t="s">
        <v>175</v>
      </c>
      <c r="N1" s="245" t="s">
        <v>176</v>
      </c>
      <c r="O1" s="57" t="s">
        <v>10</v>
      </c>
      <c r="P1" s="57" t="s">
        <v>177</v>
      </c>
      <c r="Q1" s="57" t="s">
        <v>178</v>
      </c>
      <c r="R1" s="57" t="s">
        <v>179</v>
      </c>
    </row>
    <row r="2" spans="1:18" x14ac:dyDescent="0.2">
      <c r="A2" s="14">
        <v>2</v>
      </c>
      <c r="B2" s="482"/>
      <c r="C2" s="482"/>
      <c r="D2" s="480">
        <v>0</v>
      </c>
      <c r="E2" s="480">
        <v>0</v>
      </c>
      <c r="F2" s="480">
        <v>0</v>
      </c>
      <c r="G2" s="480">
        <v>0</v>
      </c>
      <c r="H2" s="187">
        <v>42736</v>
      </c>
      <c r="I2" s="556">
        <v>0.5</v>
      </c>
      <c r="J2" s="560">
        <v>43030.061805555597</v>
      </c>
      <c r="K2" s="60">
        <v>0</v>
      </c>
      <c r="L2" s="563">
        <v>0</v>
      </c>
      <c r="M2" s="396">
        <v>0</v>
      </c>
      <c r="N2" s="244">
        <v>0</v>
      </c>
    </row>
    <row r="3" spans="1:18" x14ac:dyDescent="0.2">
      <c r="A3" s="14">
        <v>3</v>
      </c>
    </row>
    <row r="4" spans="1:18" x14ac:dyDescent="0.2">
      <c r="A4" s="14">
        <v>4</v>
      </c>
      <c r="B4" s="574"/>
      <c r="C4" s="574"/>
      <c r="D4" s="575"/>
      <c r="E4" s="575"/>
      <c r="F4" s="575"/>
      <c r="G4" s="575"/>
      <c r="H4" s="576"/>
      <c r="I4" s="577"/>
      <c r="J4" s="578"/>
      <c r="K4" s="579"/>
      <c r="L4" s="580"/>
      <c r="M4" s="581"/>
      <c r="N4" s="657"/>
    </row>
    <row r="5" spans="1:18" x14ac:dyDescent="0.2">
      <c r="A5" s="14">
        <v>5</v>
      </c>
      <c r="B5" s="511"/>
    </row>
    <row r="6" spans="1:18" x14ac:dyDescent="0.2">
      <c r="A6" s="14">
        <v>6</v>
      </c>
      <c r="B6" s="511" t="s">
        <v>180</v>
      </c>
      <c r="C6" s="646" t="s">
        <v>181</v>
      </c>
    </row>
    <row r="7" spans="1:18" x14ac:dyDescent="0.2">
      <c r="A7" s="14">
        <v>7</v>
      </c>
      <c r="B7" s="511"/>
    </row>
    <row r="8" spans="1:18" x14ac:dyDescent="0.2">
      <c r="A8" s="14">
        <v>8</v>
      </c>
      <c r="B8" s="511"/>
      <c r="H8" s="187">
        <v>43074</v>
      </c>
    </row>
    <row r="9" spans="1:18" x14ac:dyDescent="0.2">
      <c r="A9" s="14">
        <v>9</v>
      </c>
      <c r="B9" s="511"/>
      <c r="I9" s="556">
        <v>0.44913194444444443</v>
      </c>
    </row>
    <row r="10" spans="1:18" x14ac:dyDescent="0.2">
      <c r="A10" s="14">
        <v>10</v>
      </c>
      <c r="B10" s="483"/>
    </row>
    <row r="11" spans="1:18" x14ac:dyDescent="0.2">
      <c r="A11" s="14">
        <v>11</v>
      </c>
      <c r="B11" s="574"/>
      <c r="C11" s="574"/>
      <c r="D11" s="575"/>
      <c r="E11" s="575"/>
      <c r="F11" s="575"/>
      <c r="G11" s="575"/>
      <c r="H11" s="576"/>
      <c r="I11" s="577"/>
      <c r="J11" s="578"/>
      <c r="K11" s="579"/>
      <c r="L11" s="580"/>
      <c r="M11" s="581"/>
      <c r="N11" s="657"/>
    </row>
    <row r="12" spans="1:18" x14ac:dyDescent="0.2">
      <c r="A12" s="14">
        <v>12</v>
      </c>
      <c r="B12" s="511"/>
      <c r="D12" s="480">
        <v>1</v>
      </c>
    </row>
    <row r="13" spans="1:18" x14ac:dyDescent="0.2">
      <c r="A13" s="14">
        <v>13</v>
      </c>
      <c r="B13" s="511"/>
      <c r="D13" s="480">
        <v>1000</v>
      </c>
    </row>
    <row r="14" spans="1:18" x14ac:dyDescent="0.2">
      <c r="A14" s="14">
        <v>14</v>
      </c>
      <c r="B14" s="511"/>
      <c r="D14" s="480">
        <v>1</v>
      </c>
    </row>
    <row r="15" spans="1:18" x14ac:dyDescent="0.2">
      <c r="A15" s="14">
        <v>15</v>
      </c>
      <c r="B15" s="511"/>
      <c r="D15" s="480">
        <v>14</v>
      </c>
    </row>
    <row r="16" spans="1:18" x14ac:dyDescent="0.2">
      <c r="A16" s="14">
        <v>16</v>
      </c>
      <c r="B16" s="511"/>
      <c r="D16" s="480">
        <v>2</v>
      </c>
    </row>
    <row r="17" spans="1:14" x14ac:dyDescent="0.2">
      <c r="A17" s="14">
        <v>17</v>
      </c>
      <c r="B17" s="582"/>
      <c r="H17" s="187">
        <v>43010</v>
      </c>
    </row>
    <row r="18" spans="1:14" x14ac:dyDescent="0.2">
      <c r="A18" s="14">
        <v>18</v>
      </c>
      <c r="B18" s="511"/>
      <c r="D18" s="480">
        <v>365</v>
      </c>
    </row>
    <row r="19" spans="1:14" x14ac:dyDescent="0.2">
      <c r="A19" s="14">
        <v>19</v>
      </c>
      <c r="B19" s="583"/>
      <c r="C19" s="584"/>
      <c r="D19" s="585"/>
      <c r="E19" s="585"/>
      <c r="F19" s="585"/>
      <c r="G19" s="585"/>
      <c r="H19" s="586">
        <f>FFPROY</f>
        <v>43375</v>
      </c>
    </row>
    <row r="20" spans="1:14" x14ac:dyDescent="0.2">
      <c r="A20" s="14">
        <v>20</v>
      </c>
      <c r="B20" s="583"/>
      <c r="C20" s="658"/>
    </row>
    <row r="21" spans="1:14" x14ac:dyDescent="0.2">
      <c r="A21" s="14">
        <v>21</v>
      </c>
      <c r="B21" s="583"/>
      <c r="C21" s="658"/>
    </row>
    <row r="22" spans="1:14" x14ac:dyDescent="0.2">
      <c r="A22" s="14">
        <v>22</v>
      </c>
    </row>
    <row r="23" spans="1:14" x14ac:dyDescent="0.2">
      <c r="A23" s="14">
        <v>23</v>
      </c>
      <c r="B23" s="574"/>
      <c r="C23" s="574"/>
      <c r="D23" s="575"/>
      <c r="E23" s="575"/>
      <c r="F23" s="575"/>
      <c r="G23" s="575"/>
      <c r="H23" s="576"/>
      <c r="I23" s="577"/>
      <c r="J23" s="578"/>
      <c r="K23" s="579"/>
      <c r="L23" s="580"/>
      <c r="M23" s="581"/>
      <c r="N23" s="657"/>
    </row>
    <row r="24" spans="1:14" x14ac:dyDescent="0.2">
      <c r="A24" s="14">
        <v>24</v>
      </c>
      <c r="B24" s="511"/>
      <c r="D24" s="480">
        <v>8</v>
      </c>
      <c r="E24" s="480">
        <v>16</v>
      </c>
      <c r="F24" s="480">
        <v>24</v>
      </c>
    </row>
    <row r="25" spans="1:14" x14ac:dyDescent="0.2">
      <c r="A25" s="14">
        <v>25</v>
      </c>
      <c r="B25" s="511"/>
      <c r="D25" s="480">
        <v>1</v>
      </c>
      <c r="E25" s="480">
        <v>0</v>
      </c>
      <c r="F25" s="480">
        <v>0</v>
      </c>
    </row>
    <row r="26" spans="1:14" x14ac:dyDescent="0.2">
      <c r="A26" s="14">
        <v>26</v>
      </c>
    </row>
    <row r="27" spans="1:14" x14ac:dyDescent="0.2">
      <c r="A27" s="14">
        <v>27</v>
      </c>
      <c r="B27" s="574"/>
      <c r="C27" s="566"/>
      <c r="D27" s="567"/>
      <c r="E27" s="567"/>
      <c r="F27" s="567"/>
      <c r="G27" s="567"/>
      <c r="H27" s="568"/>
      <c r="I27" s="569"/>
      <c r="J27" s="570"/>
      <c r="K27" s="571"/>
      <c r="L27" s="572"/>
      <c r="M27" s="573"/>
      <c r="N27" s="657"/>
    </row>
    <row r="28" spans="1:14" x14ac:dyDescent="0.2">
      <c r="A28" s="14">
        <v>28</v>
      </c>
      <c r="B28" s="582"/>
      <c r="C28" s="482"/>
      <c r="D28" s="480">
        <v>1</v>
      </c>
    </row>
    <row r="29" spans="1:14" x14ac:dyDescent="0.2">
      <c r="A29" s="14">
        <v>29</v>
      </c>
    </row>
    <row r="30" spans="1:14" x14ac:dyDescent="0.2">
      <c r="A30" s="14">
        <v>30</v>
      </c>
      <c r="B30" s="482"/>
      <c r="C30" s="482"/>
    </row>
    <row r="31" spans="1:14" x14ac:dyDescent="0.2">
      <c r="A31" s="14">
        <v>31</v>
      </c>
      <c r="B31" s="482"/>
      <c r="D31" s="480">
        <v>49</v>
      </c>
      <c r="E31" s="480">
        <v>1</v>
      </c>
      <c r="F31" s="480">
        <v>1</v>
      </c>
    </row>
    <row r="32" spans="1:14" x14ac:dyDescent="0.2">
      <c r="A32" s="14">
        <v>32</v>
      </c>
      <c r="B32" s="482"/>
      <c r="D32" s="480">
        <v>2</v>
      </c>
      <c r="E32" s="480">
        <v>2</v>
      </c>
      <c r="F32" s="480">
        <v>1</v>
      </c>
    </row>
    <row r="33" spans="1:14" x14ac:dyDescent="0.2">
      <c r="A33" s="14">
        <v>33</v>
      </c>
      <c r="B33" s="482"/>
      <c r="D33" s="480">
        <v>12</v>
      </c>
      <c r="E33" s="480">
        <v>2</v>
      </c>
      <c r="F33" s="480">
        <v>1</v>
      </c>
    </row>
    <row r="34" spans="1:14" x14ac:dyDescent="0.2">
      <c r="A34" s="14">
        <v>34</v>
      </c>
      <c r="B34" s="482"/>
      <c r="D34" s="480">
        <v>31</v>
      </c>
      <c r="E34" s="480">
        <v>2</v>
      </c>
      <c r="F34" s="480">
        <v>1</v>
      </c>
    </row>
    <row r="35" spans="1:14" x14ac:dyDescent="0.2">
      <c r="A35" s="14">
        <v>35</v>
      </c>
      <c r="B35" s="482"/>
      <c r="D35" s="480">
        <v>73</v>
      </c>
      <c r="E35" s="480">
        <v>1</v>
      </c>
      <c r="F35" s="480">
        <v>1</v>
      </c>
    </row>
    <row r="36" spans="1:14" x14ac:dyDescent="0.2">
      <c r="A36" s="14">
        <v>36</v>
      </c>
      <c r="B36" s="482"/>
      <c r="D36" s="480">
        <v>81</v>
      </c>
      <c r="E36" s="480">
        <v>2</v>
      </c>
      <c r="F36" s="480">
        <v>1</v>
      </c>
    </row>
    <row r="37" spans="1:14" x14ac:dyDescent="0.2">
      <c r="A37" s="14">
        <v>37</v>
      </c>
      <c r="B37" s="482"/>
      <c r="D37" s="480">
        <v>71</v>
      </c>
      <c r="E37" s="480">
        <v>10</v>
      </c>
      <c r="F37" s="480">
        <v>1</v>
      </c>
    </row>
    <row r="38" spans="1:14" x14ac:dyDescent="0.2">
      <c r="A38" s="14">
        <v>38</v>
      </c>
      <c r="B38" s="482"/>
      <c r="D38" s="480">
        <v>59</v>
      </c>
      <c r="E38" s="480">
        <v>1</v>
      </c>
      <c r="F38" s="480">
        <v>1</v>
      </c>
    </row>
    <row r="39" spans="1:14" x14ac:dyDescent="0.2">
      <c r="A39" s="14">
        <v>39</v>
      </c>
      <c r="B39" s="482"/>
      <c r="D39" s="480">
        <v>103</v>
      </c>
      <c r="E39" s="480">
        <v>1</v>
      </c>
      <c r="F39" s="480">
        <v>0</v>
      </c>
    </row>
    <row r="40" spans="1:14" x14ac:dyDescent="0.2">
      <c r="A40" s="14">
        <v>40</v>
      </c>
      <c r="B40" s="482"/>
      <c r="D40" s="480">
        <v>67</v>
      </c>
      <c r="E40" s="480">
        <v>28</v>
      </c>
      <c r="F40" s="480">
        <v>1</v>
      </c>
    </row>
    <row r="41" spans="1:14" x14ac:dyDescent="0.2">
      <c r="A41" s="14">
        <v>41</v>
      </c>
      <c r="B41" s="485"/>
    </row>
    <row r="42" spans="1:14" x14ac:dyDescent="0.2">
      <c r="A42" s="14">
        <v>42</v>
      </c>
      <c r="B42" s="593"/>
      <c r="C42" s="574"/>
      <c r="D42" s="575"/>
      <c r="E42" s="575"/>
      <c r="F42" s="575"/>
      <c r="G42" s="575"/>
      <c r="H42" s="576"/>
      <c r="I42" s="577"/>
      <c r="J42" s="578"/>
      <c r="K42" s="579"/>
      <c r="L42" s="580"/>
      <c r="M42" s="581"/>
      <c r="N42" s="657"/>
    </row>
    <row r="43" spans="1:14" x14ac:dyDescent="0.2">
      <c r="A43" s="14">
        <v>43</v>
      </c>
      <c r="B43" s="582"/>
      <c r="D43" s="480">
        <v>1</v>
      </c>
    </row>
    <row r="44" spans="1:14" x14ac:dyDescent="0.2">
      <c r="A44" s="14">
        <v>44</v>
      </c>
      <c r="B44" s="511"/>
      <c r="M44" s="396">
        <v>0.150000000000091</v>
      </c>
    </row>
    <row r="45" spans="1:14" x14ac:dyDescent="0.2">
      <c r="A45" s="14">
        <v>45</v>
      </c>
      <c r="B45" s="582"/>
      <c r="D45" s="480">
        <v>1</v>
      </c>
      <c r="E45" s="480">
        <v>25</v>
      </c>
    </row>
    <row r="46" spans="1:14" x14ac:dyDescent="0.2">
      <c r="A46" s="14">
        <v>46</v>
      </c>
      <c r="B46" s="582"/>
      <c r="D46" s="480">
        <v>0</v>
      </c>
      <c r="E46" s="480">
        <v>0</v>
      </c>
    </row>
    <row r="47" spans="1:14" x14ac:dyDescent="0.2">
      <c r="A47" s="14">
        <v>47</v>
      </c>
      <c r="B47" s="582"/>
      <c r="D47" s="480">
        <v>0</v>
      </c>
      <c r="E47" s="480">
        <v>0</v>
      </c>
    </row>
    <row r="48" spans="1:14" x14ac:dyDescent="0.2">
      <c r="A48" s="14">
        <v>48</v>
      </c>
    </row>
    <row r="49" spans="1:14" x14ac:dyDescent="0.2">
      <c r="A49" s="14">
        <v>49</v>
      </c>
      <c r="B49" s="593"/>
      <c r="C49" s="593"/>
      <c r="D49" s="649"/>
      <c r="E49" s="649"/>
      <c r="F49" s="649"/>
      <c r="G49" s="649"/>
      <c r="H49" s="650"/>
      <c r="I49" s="651"/>
      <c r="J49" s="652"/>
      <c r="K49" s="653"/>
      <c r="L49" s="654"/>
      <c r="M49" s="655"/>
      <c r="N49" s="657"/>
    </row>
    <row r="50" spans="1:14" x14ac:dyDescent="0.2">
      <c r="A50" s="14">
        <v>50</v>
      </c>
      <c r="B50" s="511"/>
      <c r="D50" s="480">
        <v>0</v>
      </c>
      <c r="E50" s="480">
        <v>1</v>
      </c>
    </row>
    <row r="51" spans="1:14" x14ac:dyDescent="0.2">
      <c r="A51" s="14">
        <v>51</v>
      </c>
    </row>
    <row r="52" spans="1:14" x14ac:dyDescent="0.2">
      <c r="A52" s="14">
        <v>52</v>
      </c>
      <c r="B52" s="574"/>
      <c r="C52" s="566"/>
      <c r="D52" s="567"/>
      <c r="E52" s="567"/>
      <c r="F52" s="567"/>
      <c r="G52" s="567"/>
      <c r="H52" s="568"/>
      <c r="I52" s="569"/>
      <c r="J52" s="570"/>
      <c r="K52" s="571"/>
      <c r="L52" s="572"/>
      <c r="M52" s="573"/>
      <c r="N52" s="657"/>
    </row>
    <row r="53" spans="1:14" x14ac:dyDescent="0.2">
      <c r="A53" s="14">
        <v>53</v>
      </c>
      <c r="B53" s="511"/>
      <c r="D53" s="480">
        <v>1</v>
      </c>
      <c r="E53" s="480">
        <v>0</v>
      </c>
    </row>
    <row r="54" spans="1:14" x14ac:dyDescent="0.2">
      <c r="A54" s="14">
        <v>54</v>
      </c>
      <c r="B54" s="511"/>
      <c r="M54" s="396">
        <v>0.2</v>
      </c>
    </row>
    <row r="55" spans="1:14" x14ac:dyDescent="0.2">
      <c r="A55" s="14">
        <v>55</v>
      </c>
      <c r="B55" s="511"/>
      <c r="N55" s="244">
        <v>0</v>
      </c>
    </row>
    <row r="56" spans="1:14" x14ac:dyDescent="0.2">
      <c r="A56" s="14">
        <v>56</v>
      </c>
      <c r="B56" s="511"/>
      <c r="D56" s="480">
        <v>0</v>
      </c>
      <c r="E56" s="480">
        <v>0</v>
      </c>
    </row>
    <row r="57" spans="1:14" x14ac:dyDescent="0.2">
      <c r="A57" s="14">
        <v>57</v>
      </c>
      <c r="B57" s="511"/>
      <c r="D57" s="480">
        <v>0</v>
      </c>
      <c r="E57" s="480">
        <v>0</v>
      </c>
    </row>
    <row r="58" spans="1:14" x14ac:dyDescent="0.2">
      <c r="A58" s="14">
        <v>58</v>
      </c>
      <c r="B58" s="511"/>
      <c r="D58" s="480">
        <v>0</v>
      </c>
    </row>
    <row r="59" spans="1:14" x14ac:dyDescent="0.2">
      <c r="A59" s="14">
        <v>59</v>
      </c>
      <c r="B59" s="511"/>
      <c r="D59" s="480">
        <v>0</v>
      </c>
    </row>
    <row r="60" spans="1:14" x14ac:dyDescent="0.2">
      <c r="A60" s="14">
        <v>60</v>
      </c>
      <c r="B60" s="511"/>
      <c r="D60" s="480">
        <v>0</v>
      </c>
    </row>
    <row r="61" spans="1:14" x14ac:dyDescent="0.2">
      <c r="A61" s="14">
        <v>61</v>
      </c>
      <c r="B61" s="511"/>
      <c r="D61" s="480">
        <v>0</v>
      </c>
    </row>
    <row r="62" spans="1:14" x14ac:dyDescent="0.2">
      <c r="A62" s="14">
        <v>62</v>
      </c>
      <c r="B62" s="511"/>
      <c r="D62" s="480">
        <v>0</v>
      </c>
    </row>
    <row r="63" spans="1:14" x14ac:dyDescent="0.2">
      <c r="A63" s="14">
        <v>63</v>
      </c>
      <c r="B63" s="511"/>
      <c r="M63" s="396">
        <v>0.06</v>
      </c>
    </row>
    <row r="64" spans="1:14" x14ac:dyDescent="0.2">
      <c r="A64" s="14">
        <v>64</v>
      </c>
      <c r="B64" s="511"/>
      <c r="D64" s="480">
        <v>1</v>
      </c>
      <c r="E64" s="480">
        <v>1</v>
      </c>
      <c r="F64" s="480">
        <v>1</v>
      </c>
      <c r="G64" s="480">
        <v>1</v>
      </c>
    </row>
    <row r="65" spans="1:14" x14ac:dyDescent="0.2">
      <c r="A65" s="14">
        <v>65</v>
      </c>
      <c r="B65" s="511"/>
      <c r="D65" s="480">
        <v>1</v>
      </c>
      <c r="E65" s="480">
        <v>1</v>
      </c>
      <c r="F65" s="480">
        <v>1</v>
      </c>
      <c r="G65" s="480">
        <v>1</v>
      </c>
    </row>
    <row r="66" spans="1:14" x14ac:dyDescent="0.2">
      <c r="A66" s="14">
        <v>66</v>
      </c>
      <c r="B66" s="511"/>
      <c r="D66" s="480">
        <v>0</v>
      </c>
    </row>
    <row r="67" spans="1:14" x14ac:dyDescent="0.2">
      <c r="A67" s="14">
        <v>67</v>
      </c>
    </row>
    <row r="68" spans="1:14" x14ac:dyDescent="0.2">
      <c r="A68" s="14">
        <v>68</v>
      </c>
      <c r="B68" s="574"/>
      <c r="C68" s="566"/>
      <c r="D68" s="567"/>
      <c r="E68" s="567"/>
      <c r="F68" s="567"/>
      <c r="G68" s="567"/>
      <c r="H68" s="568"/>
      <c r="I68" s="569"/>
      <c r="J68" s="570"/>
      <c r="K68" s="571"/>
      <c r="L68" s="572"/>
      <c r="M68" s="573"/>
      <c r="N68" s="657"/>
    </row>
    <row r="69" spans="1:14" x14ac:dyDescent="0.2">
      <c r="A69" s="14">
        <v>69</v>
      </c>
      <c r="B69" s="511"/>
      <c r="M69" s="396">
        <v>0.95</v>
      </c>
    </row>
    <row r="70" spans="1:14" x14ac:dyDescent="0.2">
      <c r="A70" s="14">
        <v>70</v>
      </c>
      <c r="B70" s="511"/>
      <c r="C70" s="511"/>
      <c r="D70" s="480">
        <v>2</v>
      </c>
      <c r="E70" s="480">
        <v>1</v>
      </c>
    </row>
    <row r="71" spans="1:14" x14ac:dyDescent="0.2">
      <c r="A71" s="14">
        <v>71</v>
      </c>
      <c r="C71" s="511"/>
      <c r="D71" s="480">
        <v>2</v>
      </c>
      <c r="E71" s="480">
        <v>1</v>
      </c>
    </row>
    <row r="72" spans="1:14" x14ac:dyDescent="0.2">
      <c r="A72" s="14">
        <v>72</v>
      </c>
      <c r="C72" s="511"/>
      <c r="D72" s="480">
        <v>20</v>
      </c>
      <c r="E72" s="480">
        <v>20</v>
      </c>
    </row>
    <row r="73" spans="1:14" x14ac:dyDescent="0.2">
      <c r="A73" s="14">
        <v>73</v>
      </c>
      <c r="C73" s="511"/>
      <c r="D73" s="480">
        <v>40</v>
      </c>
      <c r="E73" s="480">
        <v>40</v>
      </c>
    </row>
    <row r="74" spans="1:14" x14ac:dyDescent="0.2">
      <c r="A74" s="14">
        <v>74</v>
      </c>
      <c r="B74" s="511"/>
      <c r="C74" s="511"/>
    </row>
    <row r="75" spans="1:14" x14ac:dyDescent="0.2">
      <c r="A75" s="14">
        <v>75</v>
      </c>
      <c r="C75" s="511"/>
      <c r="D75" s="480">
        <v>180</v>
      </c>
      <c r="E75" s="480">
        <v>5</v>
      </c>
      <c r="F75" s="480">
        <v>1</v>
      </c>
      <c r="K75" s="60">
        <v>21</v>
      </c>
    </row>
    <row r="76" spans="1:14" x14ac:dyDescent="0.2">
      <c r="A76" s="14">
        <v>76</v>
      </c>
      <c r="C76" s="511"/>
      <c r="D76" s="480">
        <v>30</v>
      </c>
      <c r="E76" s="480">
        <v>5</v>
      </c>
      <c r="F76" s="480">
        <v>1</v>
      </c>
      <c r="K76" s="60">
        <v>21</v>
      </c>
    </row>
    <row r="77" spans="1:14" x14ac:dyDescent="0.2">
      <c r="A77" s="14">
        <v>77</v>
      </c>
      <c r="C77" s="511"/>
      <c r="D77" s="480">
        <v>30</v>
      </c>
      <c r="E77" s="480">
        <v>5</v>
      </c>
      <c r="F77" s="480">
        <v>1</v>
      </c>
      <c r="K77" s="60">
        <v>35</v>
      </c>
    </row>
    <row r="78" spans="1:14" x14ac:dyDescent="0.2">
      <c r="A78" s="14">
        <v>78</v>
      </c>
      <c r="B78" s="511"/>
      <c r="D78" s="480">
        <v>0</v>
      </c>
    </row>
    <row r="79" spans="1:14" x14ac:dyDescent="0.2">
      <c r="A79" s="14">
        <v>79</v>
      </c>
    </row>
    <row r="80" spans="1:14" x14ac:dyDescent="0.2">
      <c r="A80" s="14">
        <v>80</v>
      </c>
      <c r="B80" s="574"/>
      <c r="C80" s="566"/>
      <c r="D80" s="567"/>
      <c r="E80" s="567"/>
      <c r="F80" s="567"/>
      <c r="G80" s="567"/>
      <c r="H80" s="568"/>
      <c r="I80" s="569"/>
      <c r="J80" s="570"/>
      <c r="K80" s="571"/>
      <c r="L80" s="572"/>
      <c r="M80" s="573"/>
      <c r="N80" s="657"/>
    </row>
    <row r="81" spans="1:14" x14ac:dyDescent="0.2">
      <c r="A81" s="14">
        <v>81</v>
      </c>
      <c r="B81" s="582"/>
      <c r="C81" s="582"/>
      <c r="D81" s="480">
        <v>1</v>
      </c>
    </row>
    <row r="82" spans="1:14" x14ac:dyDescent="0.2">
      <c r="A82" s="14">
        <v>82</v>
      </c>
      <c r="C82" s="582"/>
      <c r="D82" s="480">
        <v>3</v>
      </c>
    </row>
    <row r="83" spans="1:14" x14ac:dyDescent="0.2">
      <c r="A83" s="14">
        <v>83</v>
      </c>
      <c r="B83" s="582"/>
      <c r="C83" s="582"/>
      <c r="D83" s="480">
        <v>1</v>
      </c>
    </row>
    <row r="84" spans="1:14" x14ac:dyDescent="0.2">
      <c r="A84" s="14">
        <v>84</v>
      </c>
      <c r="B84" s="582"/>
      <c r="C84" s="582"/>
      <c r="D84" s="480">
        <v>1</v>
      </c>
    </row>
    <row r="85" spans="1:14" x14ac:dyDescent="0.2">
      <c r="A85" s="14">
        <v>85</v>
      </c>
      <c r="B85" s="582"/>
      <c r="C85" s="582"/>
      <c r="D85" s="480">
        <v>1</v>
      </c>
    </row>
    <row r="86" spans="1:14" x14ac:dyDescent="0.2">
      <c r="A86" s="14">
        <v>86</v>
      </c>
      <c r="B86" s="582"/>
      <c r="C86" s="582"/>
      <c r="D86" s="480">
        <v>1</v>
      </c>
    </row>
    <row r="87" spans="1:14" x14ac:dyDescent="0.2">
      <c r="A87" s="14">
        <v>87</v>
      </c>
      <c r="B87" s="582"/>
      <c r="C87" s="582"/>
      <c r="D87" s="480">
        <v>0</v>
      </c>
    </row>
    <row r="88" spans="1:14" x14ac:dyDescent="0.2">
      <c r="A88" s="14">
        <v>88</v>
      </c>
      <c r="B88" s="582"/>
      <c r="C88" s="582"/>
      <c r="D88" s="480">
        <v>1</v>
      </c>
    </row>
    <row r="89" spans="1:14" x14ac:dyDescent="0.2">
      <c r="A89" s="14">
        <v>89</v>
      </c>
      <c r="B89" s="582"/>
      <c r="C89" s="582"/>
      <c r="D89" s="480">
        <v>30</v>
      </c>
      <c r="E89" s="480">
        <v>10</v>
      </c>
      <c r="F89" s="480">
        <v>1</v>
      </c>
    </row>
    <row r="90" spans="1:14" x14ac:dyDescent="0.2">
      <c r="A90" s="14">
        <v>90</v>
      </c>
      <c r="B90" s="582"/>
      <c r="C90" s="582"/>
      <c r="D90" s="480">
        <v>1</v>
      </c>
    </row>
    <row r="91" spans="1:14" x14ac:dyDescent="0.2">
      <c r="A91" s="14">
        <v>91</v>
      </c>
      <c r="B91" s="582"/>
      <c r="C91" s="582"/>
      <c r="N91" s="244">
        <v>0</v>
      </c>
    </row>
    <row r="92" spans="1:14" x14ac:dyDescent="0.2">
      <c r="A92" s="14">
        <v>92</v>
      </c>
      <c r="B92" s="582"/>
      <c r="C92" s="582"/>
    </row>
    <row r="93" spans="1:14" x14ac:dyDescent="0.2">
      <c r="A93" s="14">
        <v>93</v>
      </c>
      <c r="B93" s="593"/>
      <c r="C93" s="656"/>
      <c r="D93" s="567"/>
      <c r="E93" s="567"/>
      <c r="F93" s="567"/>
      <c r="G93" s="567"/>
      <c r="H93" s="568"/>
      <c r="I93" s="569"/>
      <c r="J93" s="570"/>
      <c r="K93" s="571"/>
      <c r="L93" s="572"/>
      <c r="M93" s="573"/>
      <c r="N93" s="657"/>
    </row>
    <row r="94" spans="1:14" x14ac:dyDescent="0.2">
      <c r="A94" s="14">
        <v>94</v>
      </c>
      <c r="B94" s="582"/>
      <c r="C94" s="511"/>
      <c r="M94" s="396">
        <v>0.11</v>
      </c>
    </row>
    <row r="95" spans="1:14" x14ac:dyDescent="0.2">
      <c r="A95" s="14">
        <v>95</v>
      </c>
      <c r="B95" s="582"/>
      <c r="C95" s="511"/>
      <c r="M95" s="396">
        <v>0.02</v>
      </c>
    </row>
    <row r="96" spans="1:14" x14ac:dyDescent="0.2">
      <c r="A96" s="14">
        <v>96</v>
      </c>
      <c r="B96" s="582"/>
      <c r="C96" s="511"/>
      <c r="M96" s="396">
        <v>0.02</v>
      </c>
    </row>
    <row r="97" spans="1:13" x14ac:dyDescent="0.2">
      <c r="A97" s="14">
        <v>97</v>
      </c>
      <c r="C97" s="511"/>
      <c r="M97" s="396">
        <v>0.02</v>
      </c>
    </row>
    <row r="98" spans="1:13" x14ac:dyDescent="0.2">
      <c r="A98" s="14">
        <v>98</v>
      </c>
    </row>
    <row r="99" spans="1:13" x14ac:dyDescent="0.2">
      <c r="A99" s="14">
        <v>99</v>
      </c>
    </row>
    <row r="100" spans="1:13" x14ac:dyDescent="0.2">
      <c r="A100" s="14">
        <v>100</v>
      </c>
    </row>
    <row r="101" spans="1:13" x14ac:dyDescent="0.2">
      <c r="A101" s="14">
        <v>101</v>
      </c>
    </row>
    <row r="102" spans="1:13" x14ac:dyDescent="0.2">
      <c r="A102" s="14">
        <v>102</v>
      </c>
    </row>
    <row r="103" spans="1:13" x14ac:dyDescent="0.2">
      <c r="A103" s="14">
        <v>103</v>
      </c>
    </row>
    <row r="104" spans="1:13" x14ac:dyDescent="0.2">
      <c r="A104" s="14">
        <v>104</v>
      </c>
    </row>
    <row r="105" spans="1:13" x14ac:dyDescent="0.2">
      <c r="A105" s="14">
        <v>105</v>
      </c>
    </row>
    <row r="106" spans="1:13" x14ac:dyDescent="0.2">
      <c r="A106" s="14">
        <v>106</v>
      </c>
    </row>
    <row r="107" spans="1:13" x14ac:dyDescent="0.2">
      <c r="A107" s="14">
        <v>107</v>
      </c>
    </row>
    <row r="108" spans="1:13" x14ac:dyDescent="0.2">
      <c r="A108" s="14">
        <v>108</v>
      </c>
    </row>
    <row r="109" spans="1:13" x14ac:dyDescent="0.2">
      <c r="A109" s="14">
        <v>109</v>
      </c>
    </row>
    <row r="110" spans="1:13" x14ac:dyDescent="0.2">
      <c r="A110" s="14">
        <v>110</v>
      </c>
    </row>
    <row r="111" spans="1:13" x14ac:dyDescent="0.2">
      <c r="A111" s="14">
        <v>111</v>
      </c>
    </row>
  </sheetData>
  <pageMargins left="0.7" right="0.7" top="0.75" bottom="0.75" header="0.3" footer="0.3"/>
  <pageSetup orientation="portrait" r:id="rId1"/>
  <ignoredErrors>
    <ignoredError sqref="B31:B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46"/>
  </sheetPr>
  <dimension ref="A1:E183"/>
  <sheetViews>
    <sheetView showGridLines="0" workbookViewId="0"/>
  </sheetViews>
  <sheetFormatPr baseColWidth="10" defaultRowHeight="11.25" x14ac:dyDescent="0.2"/>
  <cols>
    <col min="1" max="1" width="13.33203125" customWidth="1"/>
    <col min="2" max="2" width="14.5" customWidth="1"/>
    <col min="3" max="3" width="15.1640625" style="621" bestFit="1" customWidth="1"/>
    <col min="5" max="5" width="12" style="24"/>
  </cols>
  <sheetData>
    <row r="1" spans="1:5" s="474" customFormat="1" ht="15" x14ac:dyDescent="0.25">
      <c r="A1" s="474" t="s">
        <v>0</v>
      </c>
      <c r="B1" s="622" t="s">
        <v>1</v>
      </c>
      <c r="C1" s="623" t="s">
        <v>182</v>
      </c>
      <c r="D1" s="623" t="s">
        <v>3</v>
      </c>
      <c r="E1" s="631" t="s">
        <v>175</v>
      </c>
    </row>
    <row r="2" spans="1:5" x14ac:dyDescent="0.2">
      <c r="A2" s="14">
        <v>2</v>
      </c>
      <c r="B2" s="598"/>
      <c r="C2" s="624"/>
    </row>
    <row r="3" spans="1:5" x14ac:dyDescent="0.2">
      <c r="A3" s="14">
        <v>3</v>
      </c>
      <c r="B3" s="599"/>
      <c r="C3" s="624"/>
    </row>
    <row r="4" spans="1:5" x14ac:dyDescent="0.2">
      <c r="A4" s="14">
        <v>4</v>
      </c>
      <c r="B4" s="598"/>
      <c r="C4" s="625"/>
    </row>
    <row r="5" spans="1:5" x14ac:dyDescent="0.2">
      <c r="A5" s="14">
        <v>5</v>
      </c>
      <c r="B5" s="601"/>
      <c r="C5" s="624">
        <v>1000000</v>
      </c>
      <c r="D5" s="4" t="s">
        <v>183</v>
      </c>
    </row>
    <row r="6" spans="1:5" x14ac:dyDescent="0.2">
      <c r="A6" s="14">
        <v>6</v>
      </c>
      <c r="B6" s="598"/>
      <c r="C6" s="625"/>
    </row>
    <row r="7" spans="1:5" x14ac:dyDescent="0.2">
      <c r="A7" s="14">
        <v>7</v>
      </c>
      <c r="B7" s="601"/>
      <c r="C7" s="624">
        <v>26000</v>
      </c>
      <c r="D7" s="4" t="s">
        <v>183</v>
      </c>
    </row>
    <row r="8" spans="1:5" x14ac:dyDescent="0.2">
      <c r="A8" s="14">
        <v>8</v>
      </c>
      <c r="B8" s="598"/>
      <c r="C8" s="625"/>
    </row>
    <row r="9" spans="1:5" x14ac:dyDescent="0.2">
      <c r="A9" s="14">
        <v>9</v>
      </c>
      <c r="B9" s="601"/>
      <c r="C9" s="624">
        <v>300</v>
      </c>
      <c r="D9" s="4" t="s">
        <v>183</v>
      </c>
    </row>
    <row r="10" spans="1:5" x14ac:dyDescent="0.2">
      <c r="A10" s="14">
        <v>10</v>
      </c>
      <c r="B10" s="598"/>
      <c r="C10" s="625"/>
    </row>
    <row r="11" spans="1:5" x14ac:dyDescent="0.2">
      <c r="A11" s="14">
        <v>11</v>
      </c>
      <c r="B11" s="602"/>
      <c r="C11" s="624">
        <v>820685.87</v>
      </c>
      <c r="D11" s="4" t="s">
        <v>183</v>
      </c>
    </row>
    <row r="12" spans="1:5" x14ac:dyDescent="0.2">
      <c r="A12" s="14">
        <v>12</v>
      </c>
      <c r="B12" s="598"/>
      <c r="C12" s="625"/>
    </row>
    <row r="13" spans="1:5" x14ac:dyDescent="0.2">
      <c r="A13" s="14">
        <v>13</v>
      </c>
      <c r="B13" s="602"/>
      <c r="C13" s="624">
        <v>349386.66</v>
      </c>
      <c r="D13" s="4" t="s">
        <v>183</v>
      </c>
    </row>
    <row r="14" spans="1:5" x14ac:dyDescent="0.2">
      <c r="A14" s="14">
        <v>14</v>
      </c>
      <c r="B14" s="598"/>
      <c r="C14" s="625"/>
    </row>
    <row r="15" spans="1:5" x14ac:dyDescent="0.2">
      <c r="A15" s="14">
        <v>15</v>
      </c>
      <c r="B15" s="602"/>
      <c r="C15" s="624">
        <v>21698.53</v>
      </c>
      <c r="D15" s="4" t="s">
        <v>183</v>
      </c>
    </row>
    <row r="16" spans="1:5" x14ac:dyDescent="0.2">
      <c r="A16" s="14">
        <v>16</v>
      </c>
      <c r="B16" s="598"/>
      <c r="C16" s="625"/>
    </row>
    <row r="17" spans="1:5" x14ac:dyDescent="0.2">
      <c r="A17" s="14">
        <v>17</v>
      </c>
      <c r="B17" s="602"/>
      <c r="C17" s="624">
        <v>110358.44</v>
      </c>
      <c r="D17" s="4" t="s">
        <v>183</v>
      </c>
    </row>
    <row r="18" spans="1:5" x14ac:dyDescent="0.2">
      <c r="A18" s="14">
        <v>18</v>
      </c>
      <c r="B18" s="598"/>
      <c r="C18" s="625"/>
    </row>
    <row r="19" spans="1:5" x14ac:dyDescent="0.2">
      <c r="A19" s="14">
        <v>19</v>
      </c>
      <c r="B19" s="602"/>
      <c r="C19" s="624">
        <v>11144.63</v>
      </c>
      <c r="D19" s="4" t="s">
        <v>183</v>
      </c>
    </row>
    <row r="20" spans="1:5" x14ac:dyDescent="0.2">
      <c r="A20" s="14">
        <v>20</v>
      </c>
      <c r="B20" s="598"/>
      <c r="C20" s="625"/>
    </row>
    <row r="21" spans="1:5" x14ac:dyDescent="0.2">
      <c r="A21" s="14">
        <v>21</v>
      </c>
      <c r="B21" s="602"/>
      <c r="C21" s="624">
        <v>5613.22</v>
      </c>
      <c r="D21" s="4" t="s">
        <v>183</v>
      </c>
    </row>
    <row r="22" spans="1:5" x14ac:dyDescent="0.2">
      <c r="A22" s="14">
        <v>22</v>
      </c>
      <c r="B22" s="598"/>
      <c r="C22" s="625"/>
    </row>
    <row r="23" spans="1:5" x14ac:dyDescent="0.2">
      <c r="A23" s="14">
        <v>23</v>
      </c>
      <c r="B23" s="603"/>
      <c r="C23" s="624">
        <v>3119.11</v>
      </c>
      <c r="D23" s="4" t="s">
        <v>183</v>
      </c>
    </row>
    <row r="24" spans="1:5" x14ac:dyDescent="0.2">
      <c r="A24" s="14">
        <v>24</v>
      </c>
      <c r="B24" s="601"/>
      <c r="C24" s="625"/>
    </row>
    <row r="25" spans="1:5" x14ac:dyDescent="0.2">
      <c r="A25" s="14">
        <v>25</v>
      </c>
      <c r="B25" s="601"/>
      <c r="C25" s="624">
        <v>81100000</v>
      </c>
      <c r="D25" s="4" t="s">
        <v>183</v>
      </c>
    </row>
    <row r="26" spans="1:5" x14ac:dyDescent="0.2">
      <c r="A26" s="14">
        <v>26</v>
      </c>
      <c r="B26" s="598"/>
      <c r="C26" s="625"/>
    </row>
    <row r="27" spans="1:5" x14ac:dyDescent="0.2">
      <c r="A27" s="14">
        <v>27</v>
      </c>
      <c r="B27" s="601"/>
      <c r="C27" s="624">
        <v>75000000</v>
      </c>
      <c r="D27" s="4" t="s">
        <v>183</v>
      </c>
    </row>
    <row r="28" spans="1:5" x14ac:dyDescent="0.2">
      <c r="A28" s="14">
        <v>28</v>
      </c>
      <c r="B28" s="598"/>
      <c r="C28" s="625"/>
    </row>
    <row r="29" spans="1:5" x14ac:dyDescent="0.2">
      <c r="A29" s="14">
        <v>29</v>
      </c>
      <c r="B29" s="601"/>
      <c r="C29" s="624">
        <v>120000</v>
      </c>
      <c r="D29" s="4" t="s">
        <v>183</v>
      </c>
    </row>
    <row r="30" spans="1:5" x14ac:dyDescent="0.2">
      <c r="A30" s="14">
        <v>30</v>
      </c>
      <c r="B30" s="598"/>
      <c r="C30" s="625"/>
    </row>
    <row r="31" spans="1:5" x14ac:dyDescent="0.2">
      <c r="A31" s="14">
        <v>31</v>
      </c>
      <c r="B31" s="601"/>
      <c r="C31" s="626">
        <v>1.6727000000000001</v>
      </c>
      <c r="D31" s="4" t="s">
        <v>184</v>
      </c>
      <c r="E31" s="564"/>
    </row>
    <row r="32" spans="1:5" x14ac:dyDescent="0.2">
      <c r="A32" s="14">
        <v>32</v>
      </c>
      <c r="B32" s="598"/>
      <c r="C32" s="625"/>
    </row>
    <row r="33" spans="1:4" x14ac:dyDescent="0.2">
      <c r="A33" s="14">
        <v>33</v>
      </c>
      <c r="B33" s="598"/>
      <c r="C33" s="624">
        <v>31</v>
      </c>
      <c r="D33" s="4" t="s">
        <v>183</v>
      </c>
    </row>
    <row r="34" spans="1:4" x14ac:dyDescent="0.2">
      <c r="A34" s="14">
        <v>34</v>
      </c>
      <c r="B34" s="598"/>
      <c r="C34" s="625"/>
    </row>
    <row r="35" spans="1:4" x14ac:dyDescent="0.2">
      <c r="A35" s="14">
        <v>35</v>
      </c>
      <c r="B35" s="598"/>
      <c r="C35" s="624">
        <v>31</v>
      </c>
      <c r="D35" s="4" t="s">
        <v>183</v>
      </c>
    </row>
    <row r="36" spans="1:4" x14ac:dyDescent="0.2">
      <c r="A36" s="14">
        <v>36</v>
      </c>
      <c r="B36" s="598"/>
      <c r="C36" s="625"/>
    </row>
    <row r="37" spans="1:4" x14ac:dyDescent="0.2">
      <c r="A37" s="14">
        <v>37</v>
      </c>
      <c r="B37" s="601"/>
      <c r="C37" s="624">
        <v>5</v>
      </c>
      <c r="D37" s="4" t="s">
        <v>183</v>
      </c>
    </row>
    <row r="38" spans="1:4" x14ac:dyDescent="0.2">
      <c r="A38" s="14">
        <v>38</v>
      </c>
      <c r="B38" s="598"/>
      <c r="C38" s="625"/>
    </row>
    <row r="39" spans="1:4" x14ac:dyDescent="0.2">
      <c r="A39" s="14">
        <v>39</v>
      </c>
      <c r="B39" s="604"/>
      <c r="C39" s="624">
        <v>3424000000</v>
      </c>
      <c r="D39" s="4" t="s">
        <v>183</v>
      </c>
    </row>
    <row r="40" spans="1:4" x14ac:dyDescent="0.2">
      <c r="A40" s="14">
        <v>40</v>
      </c>
      <c r="B40" s="598"/>
      <c r="C40" s="625"/>
    </row>
    <row r="41" spans="1:4" x14ac:dyDescent="0.2">
      <c r="A41" s="14">
        <v>41</v>
      </c>
      <c r="B41" s="598"/>
      <c r="C41" s="624">
        <v>2.2599999999999998</v>
      </c>
      <c r="D41" s="4" t="s">
        <v>183</v>
      </c>
    </row>
    <row r="42" spans="1:4" x14ac:dyDescent="0.2">
      <c r="A42" s="14">
        <v>42</v>
      </c>
      <c r="B42" s="598"/>
      <c r="C42" s="624"/>
    </row>
    <row r="43" spans="1:4" x14ac:dyDescent="0.2">
      <c r="A43" s="14">
        <v>43</v>
      </c>
      <c r="B43" s="598"/>
      <c r="C43" s="624">
        <v>3.39</v>
      </c>
      <c r="D43" s="4" t="s">
        <v>183</v>
      </c>
    </row>
    <row r="44" spans="1:4" x14ac:dyDescent="0.2">
      <c r="A44" s="14">
        <v>44</v>
      </c>
      <c r="B44" s="598"/>
      <c r="C44" s="624"/>
    </row>
    <row r="45" spans="1:4" x14ac:dyDescent="0.2">
      <c r="A45" s="14">
        <v>45</v>
      </c>
      <c r="B45" s="598"/>
      <c r="C45" s="624">
        <v>3.39</v>
      </c>
      <c r="D45" s="4" t="s">
        <v>183</v>
      </c>
    </row>
    <row r="46" spans="1:4" x14ac:dyDescent="0.2">
      <c r="A46" s="14">
        <v>46</v>
      </c>
      <c r="B46" s="598"/>
      <c r="C46" s="624"/>
    </row>
    <row r="47" spans="1:4" x14ac:dyDescent="0.2">
      <c r="A47" s="14">
        <v>47</v>
      </c>
      <c r="B47" s="598"/>
      <c r="C47" s="624">
        <v>80000</v>
      </c>
      <c r="D47" s="4" t="s">
        <v>183</v>
      </c>
    </row>
    <row r="48" spans="1:4" x14ac:dyDescent="0.2">
      <c r="A48" s="14">
        <v>48</v>
      </c>
      <c r="B48" s="598"/>
      <c r="C48" s="624"/>
    </row>
    <row r="49" spans="1:4" x14ac:dyDescent="0.2">
      <c r="A49" s="14">
        <v>49</v>
      </c>
      <c r="B49" s="601"/>
      <c r="C49" s="624">
        <v>160000</v>
      </c>
      <c r="D49" s="4" t="s">
        <v>183</v>
      </c>
    </row>
    <row r="50" spans="1:4" x14ac:dyDescent="0.2">
      <c r="A50" s="14">
        <v>50</v>
      </c>
      <c r="B50" s="598"/>
      <c r="C50" s="625"/>
    </row>
    <row r="51" spans="1:4" x14ac:dyDescent="0.2">
      <c r="A51" s="14">
        <v>51</v>
      </c>
      <c r="B51" s="598"/>
      <c r="C51" s="624">
        <v>660</v>
      </c>
      <c r="D51" s="4" t="s">
        <v>183</v>
      </c>
    </row>
    <row r="52" spans="1:4" x14ac:dyDescent="0.2">
      <c r="A52" s="14">
        <v>52</v>
      </c>
      <c r="B52" s="598"/>
      <c r="C52" s="625"/>
    </row>
    <row r="53" spans="1:4" x14ac:dyDescent="0.2">
      <c r="A53" s="14">
        <v>53</v>
      </c>
      <c r="B53" s="601"/>
      <c r="C53" s="624">
        <v>3200000</v>
      </c>
      <c r="D53" s="4" t="s">
        <v>183</v>
      </c>
    </row>
    <row r="54" spans="1:4" x14ac:dyDescent="0.2">
      <c r="A54" s="14">
        <v>54</v>
      </c>
      <c r="B54" s="598"/>
      <c r="C54" s="625"/>
    </row>
    <row r="55" spans="1:4" x14ac:dyDescent="0.2">
      <c r="A55" s="14">
        <v>55</v>
      </c>
      <c r="B55" s="601"/>
      <c r="C55" s="624">
        <v>1350000</v>
      </c>
      <c r="D55" s="4" t="s">
        <v>183</v>
      </c>
    </row>
    <row r="56" spans="1:4" x14ac:dyDescent="0.2">
      <c r="A56" s="14">
        <v>56</v>
      </c>
      <c r="B56" s="598"/>
      <c r="C56" s="625"/>
    </row>
    <row r="57" spans="1:4" x14ac:dyDescent="0.2">
      <c r="A57" s="14">
        <v>57</v>
      </c>
      <c r="B57" s="601"/>
      <c r="C57" s="624">
        <v>1000000</v>
      </c>
      <c r="D57" s="4" t="s">
        <v>183</v>
      </c>
    </row>
    <row r="58" spans="1:4" x14ac:dyDescent="0.2">
      <c r="A58" s="14">
        <v>58</v>
      </c>
      <c r="B58" s="598"/>
      <c r="C58" s="625"/>
    </row>
    <row r="59" spans="1:4" x14ac:dyDescent="0.2">
      <c r="A59" s="14">
        <v>59</v>
      </c>
      <c r="B59" s="601"/>
      <c r="C59" s="624">
        <v>110000</v>
      </c>
      <c r="D59" s="4" t="s">
        <v>183</v>
      </c>
    </row>
    <row r="60" spans="1:4" x14ac:dyDescent="0.2">
      <c r="A60" s="14">
        <v>60</v>
      </c>
      <c r="B60" s="598"/>
      <c r="C60" s="625"/>
    </row>
    <row r="61" spans="1:4" x14ac:dyDescent="0.2">
      <c r="A61" s="14">
        <v>61</v>
      </c>
      <c r="B61" s="601"/>
      <c r="C61" s="624">
        <v>1150000</v>
      </c>
      <c r="D61" s="4" t="s">
        <v>183</v>
      </c>
    </row>
    <row r="62" spans="1:4" x14ac:dyDescent="0.2">
      <c r="A62" s="14">
        <v>62</v>
      </c>
      <c r="B62" s="598"/>
      <c r="C62" s="625"/>
    </row>
    <row r="63" spans="1:4" x14ac:dyDescent="0.2">
      <c r="A63" s="14">
        <v>63</v>
      </c>
      <c r="B63" s="601"/>
      <c r="C63" s="624">
        <v>85500000</v>
      </c>
      <c r="D63" s="4" t="s">
        <v>183</v>
      </c>
    </row>
    <row r="64" spans="1:4" x14ac:dyDescent="0.2">
      <c r="A64" s="14">
        <v>64</v>
      </c>
      <c r="B64" s="598"/>
      <c r="C64" s="625"/>
    </row>
    <row r="65" spans="1:4" x14ac:dyDescent="0.2">
      <c r="A65" s="14">
        <v>65</v>
      </c>
      <c r="B65" s="601"/>
      <c r="C65" s="624">
        <v>85500000</v>
      </c>
      <c r="D65" s="4" t="s">
        <v>183</v>
      </c>
    </row>
    <row r="66" spans="1:4" x14ac:dyDescent="0.2">
      <c r="A66" s="14">
        <v>66</v>
      </c>
      <c r="B66" s="598"/>
      <c r="C66" s="625"/>
    </row>
    <row r="67" spans="1:4" x14ac:dyDescent="0.2">
      <c r="A67" s="14">
        <v>67</v>
      </c>
      <c r="B67" s="601"/>
      <c r="C67" s="624">
        <v>1116463.3500000001</v>
      </c>
      <c r="D67" s="4" t="s">
        <v>183</v>
      </c>
    </row>
    <row r="68" spans="1:4" x14ac:dyDescent="0.2">
      <c r="A68" s="14">
        <v>68</v>
      </c>
      <c r="B68" s="598"/>
      <c r="C68" s="625"/>
    </row>
    <row r="69" spans="1:4" x14ac:dyDescent="0.2">
      <c r="A69" s="14">
        <v>69</v>
      </c>
      <c r="B69" s="601"/>
      <c r="C69" s="624">
        <v>1722816.14</v>
      </c>
      <c r="D69" s="4" t="s">
        <v>183</v>
      </c>
    </row>
    <row r="70" spans="1:4" x14ac:dyDescent="0.2">
      <c r="A70" s="14">
        <v>70</v>
      </c>
      <c r="B70" s="598"/>
      <c r="C70" s="625"/>
    </row>
    <row r="71" spans="1:4" x14ac:dyDescent="0.2">
      <c r="A71" s="14">
        <v>71</v>
      </c>
      <c r="B71" s="601"/>
      <c r="C71" s="624">
        <v>1000000</v>
      </c>
      <c r="D71" s="4" t="s">
        <v>183</v>
      </c>
    </row>
    <row r="72" spans="1:4" x14ac:dyDescent="0.2">
      <c r="A72" s="14">
        <v>72</v>
      </c>
      <c r="B72" s="598"/>
      <c r="C72" s="625"/>
    </row>
    <row r="73" spans="1:4" x14ac:dyDescent="0.2">
      <c r="A73" s="14">
        <v>73</v>
      </c>
      <c r="B73" s="598"/>
      <c r="C73" s="624">
        <v>3000000</v>
      </c>
      <c r="D73" s="4" t="s">
        <v>183</v>
      </c>
    </row>
    <row r="74" spans="1:4" x14ac:dyDescent="0.2">
      <c r="A74" s="14">
        <v>74</v>
      </c>
      <c r="B74" s="598"/>
      <c r="C74" s="625"/>
    </row>
    <row r="75" spans="1:4" x14ac:dyDescent="0.2">
      <c r="A75" s="14">
        <v>75</v>
      </c>
      <c r="B75" s="598"/>
      <c r="C75" s="624">
        <v>2160000000</v>
      </c>
      <c r="D75" s="4" t="s">
        <v>183</v>
      </c>
    </row>
    <row r="76" spans="1:4" x14ac:dyDescent="0.2">
      <c r="A76" s="14">
        <v>76</v>
      </c>
      <c r="B76" s="598"/>
      <c r="C76" s="625"/>
    </row>
    <row r="77" spans="1:4" x14ac:dyDescent="0.2">
      <c r="A77" s="14">
        <v>77</v>
      </c>
      <c r="B77" s="598"/>
      <c r="C77" s="624">
        <v>6</v>
      </c>
      <c r="D77" s="4" t="s">
        <v>183</v>
      </c>
    </row>
    <row r="78" spans="1:4" x14ac:dyDescent="0.2">
      <c r="A78" s="14">
        <v>78</v>
      </c>
      <c r="B78" s="598"/>
      <c r="C78" s="625"/>
    </row>
    <row r="79" spans="1:4" x14ac:dyDescent="0.2">
      <c r="A79" s="14">
        <v>79</v>
      </c>
      <c r="B79" s="601"/>
      <c r="C79" s="624">
        <v>21000</v>
      </c>
      <c r="D79" s="4" t="s">
        <v>183</v>
      </c>
    </row>
    <row r="80" spans="1:4" x14ac:dyDescent="0.2">
      <c r="A80" s="14">
        <v>80</v>
      </c>
      <c r="B80" s="598"/>
      <c r="C80" s="625"/>
    </row>
    <row r="81" spans="1:4" x14ac:dyDescent="0.2">
      <c r="A81" s="14">
        <v>81</v>
      </c>
      <c r="B81" s="598"/>
      <c r="C81" s="624">
        <v>45000</v>
      </c>
      <c r="D81" s="4" t="s">
        <v>183</v>
      </c>
    </row>
    <row r="82" spans="1:4" x14ac:dyDescent="0.2">
      <c r="A82" s="14">
        <v>82</v>
      </c>
      <c r="B82" s="598"/>
      <c r="C82" s="625"/>
    </row>
    <row r="83" spans="1:4" x14ac:dyDescent="0.2">
      <c r="A83" s="14">
        <v>83</v>
      </c>
      <c r="B83" s="598"/>
      <c r="C83" s="624">
        <v>100000</v>
      </c>
      <c r="D83" s="4" t="s">
        <v>183</v>
      </c>
    </row>
    <row r="84" spans="1:4" x14ac:dyDescent="0.2">
      <c r="A84" s="14">
        <v>84</v>
      </c>
      <c r="B84" s="598"/>
      <c r="C84" s="625"/>
    </row>
    <row r="85" spans="1:4" x14ac:dyDescent="0.2">
      <c r="A85" s="14">
        <v>85</v>
      </c>
      <c r="B85" s="598"/>
      <c r="C85" s="624">
        <v>500000</v>
      </c>
      <c r="D85" s="4" t="s">
        <v>183</v>
      </c>
    </row>
    <row r="86" spans="1:4" x14ac:dyDescent="0.2">
      <c r="A86" s="14">
        <v>86</v>
      </c>
      <c r="B86" s="598"/>
      <c r="C86" s="625"/>
    </row>
    <row r="87" spans="1:4" x14ac:dyDescent="0.2">
      <c r="A87" s="14">
        <v>87</v>
      </c>
      <c r="B87" s="601"/>
      <c r="C87" s="624">
        <v>2000000</v>
      </c>
      <c r="D87" s="4" t="s">
        <v>183</v>
      </c>
    </row>
    <row r="88" spans="1:4" x14ac:dyDescent="0.2">
      <c r="A88" s="14">
        <v>88</v>
      </c>
      <c r="B88" s="598"/>
      <c r="C88" s="625"/>
    </row>
    <row r="89" spans="1:4" x14ac:dyDescent="0.2">
      <c r="A89" s="14">
        <v>89</v>
      </c>
      <c r="B89" s="605"/>
      <c r="C89" s="627">
        <v>750000</v>
      </c>
      <c r="D89" s="4" t="s">
        <v>183</v>
      </c>
    </row>
    <row r="90" spans="1:4" x14ac:dyDescent="0.2">
      <c r="A90" s="14">
        <v>90</v>
      </c>
      <c r="B90" s="598"/>
      <c r="C90" s="625"/>
    </row>
    <row r="91" spans="1:4" x14ac:dyDescent="0.2">
      <c r="A91" s="14">
        <v>91</v>
      </c>
      <c r="B91" s="606"/>
      <c r="C91" s="627">
        <v>10000</v>
      </c>
      <c r="D91" s="4" t="s">
        <v>183</v>
      </c>
    </row>
    <row r="92" spans="1:4" x14ac:dyDescent="0.2">
      <c r="A92" s="14">
        <v>92</v>
      </c>
      <c r="B92" s="598"/>
      <c r="C92" s="625"/>
    </row>
    <row r="93" spans="1:4" x14ac:dyDescent="0.2">
      <c r="A93" s="14">
        <v>93</v>
      </c>
      <c r="B93" s="605"/>
      <c r="C93" s="627">
        <v>50000</v>
      </c>
      <c r="D93" s="4" t="s">
        <v>183</v>
      </c>
    </row>
    <row r="94" spans="1:4" x14ac:dyDescent="0.2">
      <c r="A94" s="14">
        <v>94</v>
      </c>
      <c r="B94" s="598"/>
      <c r="C94" s="625"/>
    </row>
    <row r="95" spans="1:4" ht="12.75" x14ac:dyDescent="0.25">
      <c r="A95" s="14">
        <v>95</v>
      </c>
      <c r="B95" s="607"/>
      <c r="C95" s="627">
        <v>750000</v>
      </c>
      <c r="D95" s="4" t="s">
        <v>183</v>
      </c>
    </row>
    <row r="96" spans="1:4" x14ac:dyDescent="0.2">
      <c r="A96" s="14">
        <v>96</v>
      </c>
      <c r="B96" s="598"/>
      <c r="C96" s="625"/>
    </row>
    <row r="97" spans="1:4" ht="12.75" customHeight="1" x14ac:dyDescent="0.2">
      <c r="A97" s="14">
        <v>97</v>
      </c>
      <c r="B97" s="600"/>
      <c r="C97" s="628"/>
    </row>
    <row r="98" spans="1:4" x14ac:dyDescent="0.2">
      <c r="A98" s="14">
        <v>98</v>
      </c>
      <c r="B98" s="598"/>
      <c r="C98" s="625"/>
    </row>
    <row r="99" spans="1:4" x14ac:dyDescent="0.2">
      <c r="A99" s="14">
        <v>99</v>
      </c>
      <c r="B99" s="606"/>
      <c r="C99" s="627">
        <v>450000</v>
      </c>
      <c r="D99" s="4" t="s">
        <v>183</v>
      </c>
    </row>
    <row r="100" spans="1:4" x14ac:dyDescent="0.2">
      <c r="A100" s="14">
        <v>100</v>
      </c>
      <c r="B100" s="598"/>
      <c r="C100" s="625"/>
    </row>
    <row r="101" spans="1:4" x14ac:dyDescent="0.2">
      <c r="A101" s="14">
        <v>101</v>
      </c>
      <c r="B101" s="606"/>
      <c r="C101" s="627">
        <v>275400</v>
      </c>
      <c r="D101" s="4" t="s">
        <v>183</v>
      </c>
    </row>
    <row r="102" spans="1:4" x14ac:dyDescent="0.2">
      <c r="A102" s="14">
        <v>102</v>
      </c>
      <c r="B102" s="608"/>
      <c r="C102" s="629"/>
    </row>
    <row r="103" spans="1:4" x14ac:dyDescent="0.2">
      <c r="A103" s="14">
        <v>103</v>
      </c>
      <c r="B103" s="606"/>
      <c r="C103" s="627">
        <v>9000</v>
      </c>
      <c r="D103" s="4" t="s">
        <v>183</v>
      </c>
    </row>
    <row r="104" spans="1:4" x14ac:dyDescent="0.2">
      <c r="A104" s="14">
        <v>104</v>
      </c>
      <c r="B104" s="598"/>
      <c r="C104" s="625"/>
    </row>
    <row r="105" spans="1:4" x14ac:dyDescent="0.2">
      <c r="A105" s="14">
        <v>105</v>
      </c>
      <c r="B105" s="606"/>
      <c r="C105" s="627">
        <v>4000</v>
      </c>
      <c r="D105" s="4" t="s">
        <v>183</v>
      </c>
    </row>
    <row r="106" spans="1:4" x14ac:dyDescent="0.2">
      <c r="A106" s="14">
        <v>106</v>
      </c>
      <c r="B106" s="598"/>
      <c r="C106" s="625"/>
    </row>
    <row r="107" spans="1:4" ht="12.75" x14ac:dyDescent="0.2">
      <c r="A107" s="14">
        <v>107</v>
      </c>
      <c r="B107" s="609"/>
      <c r="C107" s="630"/>
    </row>
    <row r="108" spans="1:4" x14ac:dyDescent="0.2">
      <c r="A108" s="14">
        <v>108</v>
      </c>
      <c r="B108" s="610"/>
      <c r="C108" s="624">
        <f>C109*C111</f>
        <v>800000</v>
      </c>
    </row>
    <row r="109" spans="1:4" x14ac:dyDescent="0.2">
      <c r="A109" s="14">
        <v>109</v>
      </c>
      <c r="B109" s="611"/>
      <c r="C109" s="624">
        <v>20</v>
      </c>
      <c r="D109" s="4" t="s">
        <v>183</v>
      </c>
    </row>
    <row r="110" spans="1:4" x14ac:dyDescent="0.2">
      <c r="A110" s="14">
        <v>110</v>
      </c>
      <c r="B110" s="609"/>
      <c r="C110" s="625"/>
    </row>
    <row r="111" spans="1:4" x14ac:dyDescent="0.2">
      <c r="A111" s="14">
        <v>111</v>
      </c>
      <c r="B111" s="612"/>
      <c r="C111" s="627">
        <v>40000</v>
      </c>
      <c r="D111" s="4" t="s">
        <v>183</v>
      </c>
    </row>
    <row r="112" spans="1:4" x14ac:dyDescent="0.2">
      <c r="A112" s="14">
        <v>112</v>
      </c>
      <c r="B112" s="609"/>
      <c r="C112" s="625"/>
    </row>
    <row r="113" spans="1:4" x14ac:dyDescent="0.2">
      <c r="A113" s="14">
        <v>113</v>
      </c>
      <c r="B113" s="609"/>
      <c r="C113" s="624"/>
    </row>
    <row r="114" spans="1:4" x14ac:dyDescent="0.2">
      <c r="A114" s="14">
        <v>114</v>
      </c>
      <c r="B114" s="610"/>
      <c r="C114" s="624">
        <f>C117*C115</f>
        <v>498000</v>
      </c>
    </row>
    <row r="115" spans="1:4" x14ac:dyDescent="0.2">
      <c r="A115" s="14">
        <v>115</v>
      </c>
      <c r="B115" s="609"/>
      <c r="C115" s="624">
        <v>12</v>
      </c>
      <c r="D115" s="4" t="s">
        <v>183</v>
      </c>
    </row>
    <row r="116" spans="1:4" x14ac:dyDescent="0.2">
      <c r="A116" s="14">
        <v>116</v>
      </c>
      <c r="B116" s="609"/>
      <c r="C116" s="625"/>
    </row>
    <row r="117" spans="1:4" x14ac:dyDescent="0.2">
      <c r="A117" s="14">
        <v>117</v>
      </c>
      <c r="B117" s="612"/>
      <c r="C117" s="627">
        <v>41500</v>
      </c>
      <c r="D117" s="4" t="s">
        <v>183</v>
      </c>
    </row>
    <row r="118" spans="1:4" x14ac:dyDescent="0.2">
      <c r="A118" s="14">
        <v>118</v>
      </c>
      <c r="B118" s="598"/>
      <c r="C118" s="625"/>
    </row>
    <row r="119" spans="1:4" x14ac:dyDescent="0.2">
      <c r="A119" s="14">
        <v>119</v>
      </c>
      <c r="B119" s="606"/>
      <c r="C119" s="627">
        <v>50000</v>
      </c>
      <c r="D119" s="4" t="s">
        <v>183</v>
      </c>
    </row>
    <row r="120" spans="1:4" x14ac:dyDescent="0.2">
      <c r="A120" s="14">
        <v>120</v>
      </c>
      <c r="B120" s="598"/>
      <c r="C120" s="625"/>
    </row>
    <row r="121" spans="1:4" x14ac:dyDescent="0.2">
      <c r="A121" s="14">
        <v>121</v>
      </c>
      <c r="B121" s="598"/>
      <c r="C121" s="625"/>
    </row>
    <row r="122" spans="1:4" ht="12.75" customHeight="1" x14ac:dyDescent="0.2">
      <c r="A122" s="14">
        <v>122</v>
      </c>
      <c r="B122" s="600"/>
      <c r="C122" s="628"/>
    </row>
    <row r="123" spans="1:4" x14ac:dyDescent="0.2">
      <c r="A123" s="14">
        <v>123</v>
      </c>
      <c r="B123" s="598"/>
      <c r="C123" s="625"/>
    </row>
    <row r="124" spans="1:4" x14ac:dyDescent="0.2">
      <c r="A124" s="14">
        <v>124</v>
      </c>
      <c r="B124" s="613"/>
      <c r="C124" s="627">
        <v>68000</v>
      </c>
      <c r="D124" s="4" t="s">
        <v>183</v>
      </c>
    </row>
    <row r="125" spans="1:4" x14ac:dyDescent="0.2">
      <c r="A125" s="14">
        <v>125</v>
      </c>
      <c r="B125" s="598"/>
      <c r="C125" s="625"/>
    </row>
    <row r="126" spans="1:4" x14ac:dyDescent="0.2">
      <c r="A126" s="14">
        <v>126</v>
      </c>
      <c r="B126" s="613"/>
      <c r="C126" s="627">
        <v>175000</v>
      </c>
      <c r="D126" s="4" t="s">
        <v>183</v>
      </c>
    </row>
    <row r="127" spans="1:4" x14ac:dyDescent="0.2">
      <c r="A127" s="14">
        <v>127</v>
      </c>
      <c r="B127" s="598"/>
      <c r="C127" s="625"/>
    </row>
    <row r="128" spans="1:4" x14ac:dyDescent="0.2">
      <c r="A128" s="14">
        <v>128</v>
      </c>
      <c r="B128" s="613"/>
      <c r="C128" s="627">
        <v>340000</v>
      </c>
      <c r="D128" s="4" t="s">
        <v>183</v>
      </c>
    </row>
    <row r="129" spans="1:4" x14ac:dyDescent="0.2">
      <c r="A129" s="14">
        <v>129</v>
      </c>
      <c r="B129" s="598"/>
      <c r="C129" s="625"/>
    </row>
    <row r="130" spans="1:4" x14ac:dyDescent="0.2">
      <c r="A130" s="14">
        <v>130</v>
      </c>
      <c r="B130" s="613"/>
      <c r="C130" s="627">
        <v>400000</v>
      </c>
      <c r="D130" s="4" t="s">
        <v>183</v>
      </c>
    </row>
    <row r="131" spans="1:4" x14ac:dyDescent="0.2">
      <c r="A131" s="14">
        <v>131</v>
      </c>
      <c r="B131" s="598"/>
      <c r="C131" s="625"/>
    </row>
    <row r="132" spans="1:4" x14ac:dyDescent="0.2">
      <c r="A132" s="14">
        <v>132</v>
      </c>
      <c r="B132" s="613"/>
      <c r="C132" s="627">
        <v>500000</v>
      </c>
      <c r="D132" s="4" t="s">
        <v>183</v>
      </c>
    </row>
    <row r="133" spans="1:4" x14ac:dyDescent="0.2">
      <c r="A133" s="14">
        <v>133</v>
      </c>
      <c r="B133" s="598"/>
      <c r="C133" s="625"/>
    </row>
    <row r="134" spans="1:4" x14ac:dyDescent="0.2">
      <c r="A134" s="14">
        <v>134</v>
      </c>
      <c r="B134" s="613"/>
      <c r="C134" s="627">
        <v>300000</v>
      </c>
      <c r="D134" s="4" t="s">
        <v>183</v>
      </c>
    </row>
    <row r="135" spans="1:4" x14ac:dyDescent="0.2">
      <c r="A135" s="14">
        <v>135</v>
      </c>
      <c r="B135" s="598"/>
      <c r="C135" s="625"/>
    </row>
    <row r="136" spans="1:4" ht="12.75" customHeight="1" x14ac:dyDescent="0.2">
      <c r="A136" s="14">
        <v>136</v>
      </c>
      <c r="B136" s="600"/>
      <c r="C136" s="628"/>
    </row>
    <row r="137" spans="1:4" x14ac:dyDescent="0.2">
      <c r="A137" s="14">
        <v>137</v>
      </c>
      <c r="B137" s="598"/>
      <c r="C137" s="625"/>
    </row>
    <row r="138" spans="1:4" x14ac:dyDescent="0.2">
      <c r="A138" s="14">
        <v>138</v>
      </c>
      <c r="B138" s="613"/>
      <c r="C138" s="627">
        <v>175000</v>
      </c>
      <c r="D138" s="4" t="s">
        <v>183</v>
      </c>
    </row>
    <row r="139" spans="1:4" x14ac:dyDescent="0.2">
      <c r="A139" s="14">
        <v>139</v>
      </c>
      <c r="B139" s="598"/>
      <c r="C139" s="625"/>
    </row>
    <row r="140" spans="1:4" ht="12.75" customHeight="1" x14ac:dyDescent="0.2">
      <c r="A140" s="14">
        <v>140</v>
      </c>
      <c r="B140" s="600"/>
      <c r="C140" s="628"/>
    </row>
    <row r="141" spans="1:4" x14ac:dyDescent="0.2">
      <c r="A141" s="14">
        <v>141</v>
      </c>
      <c r="B141" s="598"/>
      <c r="C141" s="625"/>
    </row>
    <row r="142" spans="1:4" x14ac:dyDescent="0.2">
      <c r="A142" s="14">
        <v>142</v>
      </c>
      <c r="B142" s="606"/>
      <c r="C142" s="627">
        <v>400000</v>
      </c>
      <c r="D142" s="4" t="s">
        <v>183</v>
      </c>
    </row>
    <row r="143" spans="1:4" x14ac:dyDescent="0.2">
      <c r="A143" s="14">
        <v>143</v>
      </c>
      <c r="B143" s="598"/>
      <c r="C143" s="625"/>
    </row>
    <row r="144" spans="1:4" x14ac:dyDescent="0.2">
      <c r="A144" s="14">
        <v>144</v>
      </c>
      <c r="B144" s="606"/>
      <c r="C144" s="627">
        <v>175000</v>
      </c>
      <c r="D144" s="4" t="s">
        <v>183</v>
      </c>
    </row>
    <row r="145" spans="1:4" x14ac:dyDescent="0.2">
      <c r="A145" s="14">
        <v>145</v>
      </c>
      <c r="B145" s="598"/>
      <c r="C145" s="625"/>
    </row>
    <row r="146" spans="1:4" x14ac:dyDescent="0.2">
      <c r="A146" s="14">
        <v>146</v>
      </c>
      <c r="B146" s="614"/>
      <c r="C146" s="629">
        <f>C142+C144</f>
        <v>575000</v>
      </c>
    </row>
    <row r="147" spans="1:4" x14ac:dyDescent="0.2">
      <c r="A147" s="14">
        <v>147</v>
      </c>
      <c r="B147" s="598"/>
      <c r="C147" s="625"/>
    </row>
    <row r="148" spans="1:4" ht="12.75" customHeight="1" x14ac:dyDescent="0.2">
      <c r="A148" s="14">
        <v>148</v>
      </c>
      <c r="B148" s="600"/>
      <c r="C148" s="628"/>
    </row>
    <row r="149" spans="1:4" x14ac:dyDescent="0.2">
      <c r="A149" s="14">
        <v>149</v>
      </c>
      <c r="B149" s="598"/>
      <c r="C149" s="625"/>
    </row>
    <row r="150" spans="1:4" x14ac:dyDescent="0.2">
      <c r="A150" s="14">
        <v>150</v>
      </c>
      <c r="B150" s="615"/>
      <c r="C150" s="627">
        <v>80000000</v>
      </c>
      <c r="D150" s="4" t="s">
        <v>183</v>
      </c>
    </row>
    <row r="151" spans="1:4" x14ac:dyDescent="0.2">
      <c r="A151" s="14">
        <v>151</v>
      </c>
      <c r="B151" s="598"/>
      <c r="C151" s="625"/>
    </row>
    <row r="152" spans="1:4" ht="12.75" customHeight="1" x14ac:dyDescent="0.2">
      <c r="A152" s="14">
        <v>152</v>
      </c>
      <c r="B152" s="600"/>
      <c r="C152" s="628"/>
    </row>
    <row r="153" spans="1:4" x14ac:dyDescent="0.2">
      <c r="A153" s="14">
        <v>153</v>
      </c>
      <c r="B153" s="598"/>
      <c r="C153" s="625"/>
    </row>
    <row r="154" spans="1:4" x14ac:dyDescent="0.2">
      <c r="A154" s="14">
        <v>154</v>
      </c>
      <c r="B154" s="616"/>
      <c r="C154" s="627">
        <v>44000000</v>
      </c>
      <c r="D154" s="4" t="s">
        <v>183</v>
      </c>
    </row>
    <row r="155" spans="1:4" x14ac:dyDescent="0.2">
      <c r="A155" s="14">
        <v>155</v>
      </c>
      <c r="B155" s="598"/>
      <c r="C155" s="625"/>
    </row>
    <row r="156" spans="1:4" ht="12.75" customHeight="1" x14ac:dyDescent="0.2">
      <c r="A156" s="14">
        <v>156</v>
      </c>
      <c r="B156" s="600"/>
      <c r="C156" s="628"/>
    </row>
    <row r="157" spans="1:4" x14ac:dyDescent="0.2">
      <c r="A157" s="14">
        <v>157</v>
      </c>
      <c r="B157" s="598"/>
      <c r="C157" s="625"/>
    </row>
    <row r="158" spans="1:4" x14ac:dyDescent="0.2">
      <c r="A158" s="14">
        <v>158</v>
      </c>
      <c r="B158" s="617"/>
      <c r="C158" s="627">
        <v>0</v>
      </c>
      <c r="D158" s="4" t="s">
        <v>183</v>
      </c>
    </row>
    <row r="159" spans="1:4" x14ac:dyDescent="0.2">
      <c r="A159" s="14">
        <v>159</v>
      </c>
      <c r="B159" s="598"/>
      <c r="C159" s="625"/>
    </row>
    <row r="160" spans="1:4" x14ac:dyDescent="0.2">
      <c r="A160" s="14">
        <v>160</v>
      </c>
      <c r="B160" s="617"/>
      <c r="C160" s="627">
        <v>0</v>
      </c>
      <c r="D160" s="4" t="s">
        <v>183</v>
      </c>
    </row>
    <row r="161" spans="1:4" x14ac:dyDescent="0.2">
      <c r="A161" s="14">
        <v>161</v>
      </c>
      <c r="B161" s="598"/>
      <c r="C161" s="625"/>
    </row>
    <row r="162" spans="1:4" x14ac:dyDescent="0.2">
      <c r="A162" s="14">
        <v>162</v>
      </c>
      <c r="B162" s="618"/>
      <c r="C162" s="627">
        <v>537275</v>
      </c>
      <c r="D162" s="4" t="s">
        <v>183</v>
      </c>
    </row>
    <row r="163" spans="1:4" x14ac:dyDescent="0.2">
      <c r="A163" s="14">
        <v>163</v>
      </c>
      <c r="B163" s="598"/>
      <c r="C163" s="625"/>
    </row>
    <row r="164" spans="1:4" x14ac:dyDescent="0.2">
      <c r="A164" s="14">
        <v>164</v>
      </c>
      <c r="B164" s="619"/>
      <c r="C164" s="627">
        <v>85000</v>
      </c>
      <c r="D164" s="4" t="s">
        <v>183</v>
      </c>
    </row>
    <row r="165" spans="1:4" x14ac:dyDescent="0.2">
      <c r="A165" s="14">
        <v>165</v>
      </c>
      <c r="B165" s="598"/>
      <c r="C165" s="625"/>
    </row>
    <row r="166" spans="1:4" x14ac:dyDescent="0.2">
      <c r="A166" s="14">
        <v>166</v>
      </c>
      <c r="B166" s="619"/>
      <c r="C166" s="627">
        <v>257490</v>
      </c>
      <c r="D166" s="4" t="s">
        <v>183</v>
      </c>
    </row>
    <row r="167" spans="1:4" x14ac:dyDescent="0.2">
      <c r="A167" s="14">
        <v>167</v>
      </c>
      <c r="B167" s="598"/>
      <c r="C167" s="625"/>
    </row>
    <row r="168" spans="1:4" x14ac:dyDescent="0.2">
      <c r="A168" s="14">
        <v>168</v>
      </c>
      <c r="B168" s="620"/>
      <c r="C168" s="629">
        <f>(C158+C160+C162+C164+C166)</f>
        <v>879765</v>
      </c>
    </row>
    <row r="169" spans="1:4" x14ac:dyDescent="0.2">
      <c r="A169" s="14">
        <v>169</v>
      </c>
      <c r="B169" s="598"/>
      <c r="C169" s="625"/>
    </row>
    <row r="170" spans="1:4" ht="12.75" customHeight="1" x14ac:dyDescent="0.2">
      <c r="A170" s="14">
        <v>170</v>
      </c>
      <c r="B170" s="600"/>
      <c r="C170" s="628"/>
    </row>
    <row r="171" spans="1:4" x14ac:dyDescent="0.2">
      <c r="A171" s="14">
        <v>171</v>
      </c>
      <c r="B171" s="598"/>
      <c r="C171" s="625"/>
    </row>
    <row r="172" spans="1:4" x14ac:dyDescent="0.2">
      <c r="A172" s="14">
        <v>172</v>
      </c>
      <c r="B172" s="606"/>
      <c r="C172" s="627">
        <v>200000</v>
      </c>
      <c r="D172" s="4" t="s">
        <v>183</v>
      </c>
    </row>
    <row r="173" spans="1:4" x14ac:dyDescent="0.2">
      <c r="A173" s="14">
        <v>173</v>
      </c>
      <c r="B173" s="484"/>
      <c r="C173" s="625"/>
    </row>
    <row r="174" spans="1:4" x14ac:dyDescent="0.2">
      <c r="A174" s="14">
        <v>174</v>
      </c>
      <c r="B174" s="511"/>
      <c r="C174" s="624">
        <f>SUM(C1:C173)</f>
        <v>6062919791.6599998</v>
      </c>
    </row>
    <row r="175" spans="1:4" x14ac:dyDescent="0.2">
      <c r="A175" s="14">
        <v>175</v>
      </c>
      <c r="B175" s="484"/>
      <c r="C175" s="625"/>
    </row>
    <row r="176" spans="1:4" x14ac:dyDescent="0.2">
      <c r="A176" s="14">
        <v>176</v>
      </c>
      <c r="B176" s="484"/>
      <c r="C176" s="625" t="s">
        <v>185</v>
      </c>
    </row>
    <row r="177" spans="1:3" x14ac:dyDescent="0.2">
      <c r="A177" s="14">
        <v>177</v>
      </c>
      <c r="B177" s="483"/>
      <c r="C177" s="625"/>
    </row>
    <row r="178" spans="1:3" x14ac:dyDescent="0.2">
      <c r="B178" s="484"/>
    </row>
    <row r="179" spans="1:3" x14ac:dyDescent="0.2">
      <c r="B179" s="484"/>
    </row>
    <row r="180" spans="1:3" x14ac:dyDescent="0.2">
      <c r="B180" s="484"/>
    </row>
    <row r="181" spans="1:3" x14ac:dyDescent="0.2">
      <c r="B181" s="484"/>
    </row>
    <row r="182" spans="1:3" x14ac:dyDescent="0.2">
      <c r="B182" s="484"/>
    </row>
    <row r="183" spans="1:3" x14ac:dyDescent="0.2">
      <c r="B183" s="484"/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tabColor indexed="11"/>
  </sheetPr>
  <dimension ref="A1:BZ111"/>
  <sheetViews>
    <sheetView showGridLines="0" topLeftCell="AC1" zoomScaleNormal="100" workbookViewId="0">
      <selection activeCell="BB1" sqref="BB1"/>
    </sheetView>
  </sheetViews>
  <sheetFormatPr baseColWidth="10" defaultRowHeight="11.25" x14ac:dyDescent="0.2"/>
  <cols>
    <col min="1" max="1" width="12.5" style="481" customWidth="1"/>
    <col min="2" max="2" width="4.1640625" style="481" customWidth="1"/>
    <col min="3" max="3" width="44.33203125" style="50" bestFit="1" customWidth="1"/>
    <col min="4" max="52" width="12.5" style="50" customWidth="1"/>
    <col min="53" max="54" width="12" style="50"/>
    <col min="55" max="78" width="12" style="679"/>
    <col min="79" max="16384" width="12" style="50"/>
  </cols>
  <sheetData>
    <row r="1" spans="1:78" s="551" customFormat="1" ht="15" x14ac:dyDescent="0.25">
      <c r="A1" s="632" t="s">
        <v>0</v>
      </c>
      <c r="B1" s="632" t="s">
        <v>186</v>
      </c>
      <c r="C1" s="552" t="s">
        <v>187</v>
      </c>
      <c r="D1" s="553" t="s">
        <v>188</v>
      </c>
      <c r="E1" s="553" t="s">
        <v>189</v>
      </c>
      <c r="F1" s="553" t="s">
        <v>190</v>
      </c>
      <c r="G1" s="553" t="s">
        <v>191</v>
      </c>
      <c r="H1" s="553" t="s">
        <v>192</v>
      </c>
      <c r="I1" s="553" t="s">
        <v>193</v>
      </c>
      <c r="J1" s="553" t="s">
        <v>194</v>
      </c>
      <c r="K1" s="553" t="s">
        <v>195</v>
      </c>
      <c r="L1" s="553" t="s">
        <v>196</v>
      </c>
      <c r="M1" s="553" t="s">
        <v>197</v>
      </c>
      <c r="N1" s="553" t="s">
        <v>198</v>
      </c>
      <c r="O1" s="553" t="s">
        <v>199</v>
      </c>
      <c r="P1" s="553" t="s">
        <v>200</v>
      </c>
      <c r="Q1" s="553" t="s">
        <v>201</v>
      </c>
      <c r="R1" s="553" t="s">
        <v>202</v>
      </c>
      <c r="S1" s="553" t="s">
        <v>203</v>
      </c>
      <c r="T1" s="553" t="s">
        <v>204</v>
      </c>
      <c r="U1" s="553" t="s">
        <v>205</v>
      </c>
      <c r="V1" s="553" t="s">
        <v>206</v>
      </c>
      <c r="W1" s="553" t="s">
        <v>207</v>
      </c>
      <c r="X1" s="553" t="s">
        <v>208</v>
      </c>
      <c r="Y1" s="553" t="s">
        <v>209</v>
      </c>
      <c r="Z1" s="553" t="s">
        <v>210</v>
      </c>
      <c r="AA1" s="553" t="s">
        <v>211</v>
      </c>
      <c r="AB1" s="553" t="s">
        <v>212</v>
      </c>
      <c r="AC1" s="553" t="s">
        <v>213</v>
      </c>
      <c r="AD1" s="553" t="s">
        <v>214</v>
      </c>
      <c r="AE1" s="553" t="s">
        <v>215</v>
      </c>
      <c r="AF1" s="553" t="s">
        <v>216</v>
      </c>
      <c r="AG1" s="553" t="s">
        <v>217</v>
      </c>
      <c r="AH1" s="553" t="s">
        <v>218</v>
      </c>
      <c r="AI1" s="553" t="s">
        <v>219</v>
      </c>
      <c r="AJ1" s="553" t="s">
        <v>220</v>
      </c>
      <c r="AK1" s="553" t="s">
        <v>221</v>
      </c>
      <c r="AL1" s="553" t="s">
        <v>222</v>
      </c>
      <c r="AM1" s="553" t="s">
        <v>223</v>
      </c>
      <c r="AN1" s="553" t="s">
        <v>224</v>
      </c>
      <c r="AO1" s="553" t="s">
        <v>225</v>
      </c>
      <c r="AP1" s="553" t="s">
        <v>226</v>
      </c>
      <c r="AQ1" s="553" t="s">
        <v>227</v>
      </c>
      <c r="AR1" s="553" t="s">
        <v>228</v>
      </c>
      <c r="AS1" s="553" t="s">
        <v>229</v>
      </c>
      <c r="AT1" s="553" t="s">
        <v>230</v>
      </c>
      <c r="AU1" s="553" t="s">
        <v>231</v>
      </c>
      <c r="AV1" s="553" t="s">
        <v>232</v>
      </c>
      <c r="AW1" s="553" t="s">
        <v>233</v>
      </c>
      <c r="AX1" s="553" t="s">
        <v>234</v>
      </c>
      <c r="AY1" s="553" t="s">
        <v>235</v>
      </c>
      <c r="AZ1" s="553" t="s">
        <v>236</v>
      </c>
      <c r="BA1" s="554" t="s">
        <v>237</v>
      </c>
      <c r="BB1" s="551" t="s">
        <v>238</v>
      </c>
      <c r="BC1" s="680" t="s">
        <v>239</v>
      </c>
      <c r="BD1" s="680" t="s">
        <v>240</v>
      </c>
      <c r="BE1" s="680" t="s">
        <v>241</v>
      </c>
      <c r="BF1" s="680" t="s">
        <v>242</v>
      </c>
      <c r="BG1" s="680" t="s">
        <v>243</v>
      </c>
      <c r="BH1" s="680" t="s">
        <v>244</v>
      </c>
      <c r="BI1" s="680" t="s">
        <v>245</v>
      </c>
      <c r="BJ1" s="680" t="s">
        <v>246</v>
      </c>
      <c r="BK1" s="680" t="s">
        <v>247</v>
      </c>
      <c r="BL1" s="680" t="s">
        <v>248</v>
      </c>
      <c r="BM1" s="680" t="s">
        <v>249</v>
      </c>
      <c r="BN1" s="680" t="s">
        <v>250</v>
      </c>
      <c r="BO1" s="680" t="s">
        <v>251</v>
      </c>
      <c r="BP1" s="680" t="s">
        <v>252</v>
      </c>
      <c r="BQ1" s="680" t="s">
        <v>253</v>
      </c>
      <c r="BR1" s="680" t="s">
        <v>254</v>
      </c>
      <c r="BS1" s="680" t="s">
        <v>255</v>
      </c>
      <c r="BT1" s="680" t="s">
        <v>256</v>
      </c>
      <c r="BU1" s="680" t="s">
        <v>257</v>
      </c>
      <c r="BV1" s="680" t="s">
        <v>258</v>
      </c>
      <c r="BW1" s="680" t="s">
        <v>259</v>
      </c>
      <c r="BX1" s="680" t="s">
        <v>260</v>
      </c>
      <c r="BY1" s="680" t="s">
        <v>261</v>
      </c>
      <c r="BZ1" s="680" t="s">
        <v>262</v>
      </c>
    </row>
    <row r="2" spans="1:78" x14ac:dyDescent="0.2">
      <c r="A2" s="480">
        <v>2</v>
      </c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1"/>
    </row>
    <row r="3" spans="1:78" x14ac:dyDescent="0.2">
      <c r="A3" s="480">
        <v>3</v>
      </c>
      <c r="C3" s="542"/>
      <c r="D3" s="752" t="s">
        <v>263</v>
      </c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5"/>
      <c r="AB3" s="749" t="s">
        <v>264</v>
      </c>
      <c r="AC3" s="750"/>
      <c r="AD3" s="750"/>
      <c r="AE3" s="750"/>
      <c r="AF3" s="750"/>
      <c r="AG3" s="750"/>
      <c r="AH3" s="750"/>
      <c r="AI3" s="750"/>
      <c r="AJ3" s="750"/>
      <c r="AK3" s="750"/>
      <c r="AL3" s="750"/>
      <c r="AM3" s="750"/>
      <c r="AN3" s="750"/>
      <c r="AO3" s="750"/>
      <c r="AP3" s="750"/>
      <c r="AQ3" s="750"/>
      <c r="AR3" s="750"/>
      <c r="AS3" s="750"/>
      <c r="AT3" s="750"/>
      <c r="AU3" s="750"/>
      <c r="AV3" s="750"/>
      <c r="AW3" s="750"/>
      <c r="AX3" s="750"/>
      <c r="AY3" s="751"/>
      <c r="AZ3" s="543" t="s">
        <v>265</v>
      </c>
    </row>
    <row r="4" spans="1:78" x14ac:dyDescent="0.2">
      <c r="A4" s="480">
        <v>4</v>
      </c>
      <c r="B4" s="633" t="s">
        <v>186</v>
      </c>
      <c r="C4" s="544" t="s">
        <v>187</v>
      </c>
      <c r="D4" s="677">
        <f t="shared" ref="D4:AA4" si="0">BC4</f>
        <v>42370</v>
      </c>
      <c r="E4" s="677">
        <f t="shared" si="0"/>
        <v>42491</v>
      </c>
      <c r="F4" s="677">
        <f t="shared" si="0"/>
        <v>42614</v>
      </c>
      <c r="G4" s="677">
        <f t="shared" si="0"/>
        <v>42644</v>
      </c>
      <c r="H4" s="677">
        <f t="shared" si="0"/>
        <v>42644</v>
      </c>
      <c r="I4" s="677">
        <f t="shared" si="0"/>
        <v>42736</v>
      </c>
      <c r="J4" s="677">
        <f t="shared" si="0"/>
        <v>42782</v>
      </c>
      <c r="K4" s="677">
        <f t="shared" si="0"/>
        <v>42856</v>
      </c>
      <c r="L4" s="677">
        <f t="shared" si="0"/>
        <v>42888</v>
      </c>
      <c r="M4" s="677">
        <f t="shared" si="0"/>
        <v>42917</v>
      </c>
      <c r="N4" s="677">
        <f t="shared" si="0"/>
        <v>42954</v>
      </c>
      <c r="O4" s="677">
        <f t="shared" si="0"/>
        <v>42979</v>
      </c>
      <c r="P4" s="677">
        <f t="shared" si="0"/>
        <v>43009</v>
      </c>
      <c r="Q4" s="677">
        <f t="shared" si="0"/>
        <v>43040</v>
      </c>
      <c r="R4" s="677">
        <f t="shared" si="0"/>
        <v>43070</v>
      </c>
      <c r="S4" s="677">
        <f t="shared" si="0"/>
        <v>43101</v>
      </c>
      <c r="T4" s="677">
        <f t="shared" si="0"/>
        <v>43132</v>
      </c>
      <c r="U4" s="677">
        <f t="shared" si="0"/>
        <v>43160</v>
      </c>
      <c r="V4" s="677">
        <f t="shared" si="0"/>
        <v>43191</v>
      </c>
      <c r="W4" s="677">
        <f t="shared" si="0"/>
        <v>43221</v>
      </c>
      <c r="X4" s="677">
        <f t="shared" si="0"/>
        <v>43252</v>
      </c>
      <c r="Y4" s="677">
        <f t="shared" si="0"/>
        <v>43282</v>
      </c>
      <c r="Z4" s="677">
        <f t="shared" si="0"/>
        <v>43313</v>
      </c>
      <c r="AA4" s="677">
        <f t="shared" si="0"/>
        <v>43344</v>
      </c>
      <c r="AB4" s="678">
        <f>D4</f>
        <v>42370</v>
      </c>
      <c r="AC4" s="678">
        <f>E4</f>
        <v>42491</v>
      </c>
      <c r="AD4" s="678">
        <f t="shared" ref="AD4:AY4" si="1">F4</f>
        <v>42614</v>
      </c>
      <c r="AE4" s="678">
        <f t="shared" si="1"/>
        <v>42644</v>
      </c>
      <c r="AF4" s="678">
        <f t="shared" si="1"/>
        <v>42644</v>
      </c>
      <c r="AG4" s="678">
        <f t="shared" si="1"/>
        <v>42736</v>
      </c>
      <c r="AH4" s="678">
        <f t="shared" si="1"/>
        <v>42782</v>
      </c>
      <c r="AI4" s="678">
        <f t="shared" si="1"/>
        <v>42856</v>
      </c>
      <c r="AJ4" s="678">
        <f t="shared" si="1"/>
        <v>42888</v>
      </c>
      <c r="AK4" s="678">
        <f t="shared" si="1"/>
        <v>42917</v>
      </c>
      <c r="AL4" s="678">
        <f t="shared" si="1"/>
        <v>42954</v>
      </c>
      <c r="AM4" s="678">
        <f t="shared" si="1"/>
        <v>42979</v>
      </c>
      <c r="AN4" s="678">
        <f t="shared" si="1"/>
        <v>43009</v>
      </c>
      <c r="AO4" s="678">
        <f t="shared" si="1"/>
        <v>43040</v>
      </c>
      <c r="AP4" s="678">
        <f t="shared" si="1"/>
        <v>43070</v>
      </c>
      <c r="AQ4" s="678">
        <f t="shared" si="1"/>
        <v>43101</v>
      </c>
      <c r="AR4" s="678">
        <f t="shared" si="1"/>
        <v>43132</v>
      </c>
      <c r="AS4" s="678">
        <f t="shared" si="1"/>
        <v>43160</v>
      </c>
      <c r="AT4" s="678">
        <f t="shared" si="1"/>
        <v>43191</v>
      </c>
      <c r="AU4" s="678">
        <f t="shared" si="1"/>
        <v>43221</v>
      </c>
      <c r="AV4" s="678">
        <f t="shared" si="1"/>
        <v>43252</v>
      </c>
      <c r="AW4" s="678">
        <f t="shared" si="1"/>
        <v>43282</v>
      </c>
      <c r="AX4" s="678">
        <f t="shared" si="1"/>
        <v>43313</v>
      </c>
      <c r="AY4" s="678">
        <f t="shared" si="1"/>
        <v>43344</v>
      </c>
      <c r="AZ4" s="545" t="s">
        <v>266</v>
      </c>
      <c r="BA4" s="546" t="s">
        <v>267</v>
      </c>
      <c r="BC4" s="26">
        <v>42370</v>
      </c>
      <c r="BD4" s="26">
        <v>42491</v>
      </c>
      <c r="BE4" s="26">
        <v>42614</v>
      </c>
      <c r="BF4" s="26">
        <v>42644</v>
      </c>
      <c r="BG4" s="26">
        <v>42644</v>
      </c>
      <c r="BH4" s="26">
        <v>42736</v>
      </c>
      <c r="BI4" s="26">
        <v>42782</v>
      </c>
      <c r="BJ4" s="26">
        <v>42856</v>
      </c>
      <c r="BK4" s="26">
        <v>42888</v>
      </c>
      <c r="BL4" s="26">
        <v>42917</v>
      </c>
      <c r="BM4" s="26">
        <v>42954</v>
      </c>
      <c r="BN4" s="26">
        <v>42979</v>
      </c>
      <c r="BO4" s="26">
        <v>43009</v>
      </c>
      <c r="BP4" s="26">
        <v>43040</v>
      </c>
      <c r="BQ4" s="26">
        <v>43070</v>
      </c>
      <c r="BR4" s="26">
        <v>43101</v>
      </c>
      <c r="BS4" s="26">
        <v>43132</v>
      </c>
      <c r="BT4" s="26">
        <v>43160</v>
      </c>
      <c r="BU4" s="26">
        <v>43191</v>
      </c>
      <c r="BV4" s="26">
        <v>43221</v>
      </c>
      <c r="BW4" s="26">
        <v>43252</v>
      </c>
      <c r="BX4" s="26">
        <v>43282</v>
      </c>
      <c r="BY4" s="26">
        <v>43313</v>
      </c>
      <c r="BZ4" s="26">
        <v>43344</v>
      </c>
    </row>
    <row r="5" spans="1:78" x14ac:dyDescent="0.2">
      <c r="A5" s="480">
        <v>5</v>
      </c>
      <c r="B5" s="634"/>
      <c r="C5" s="634"/>
      <c r="D5" s="640">
        <v>1</v>
      </c>
      <c r="E5" s="640">
        <v>2</v>
      </c>
      <c r="F5" s="640">
        <v>3</v>
      </c>
      <c r="G5" s="640">
        <v>4</v>
      </c>
      <c r="H5" s="640">
        <v>5</v>
      </c>
      <c r="I5" s="640">
        <v>6</v>
      </c>
      <c r="J5" s="640">
        <v>7</v>
      </c>
      <c r="K5" s="640">
        <v>8</v>
      </c>
      <c r="L5" s="640">
        <v>9</v>
      </c>
      <c r="M5" s="640">
        <v>10</v>
      </c>
      <c r="N5" s="640">
        <v>11</v>
      </c>
      <c r="O5" s="640">
        <v>12</v>
      </c>
      <c r="P5" s="640">
        <v>13</v>
      </c>
      <c r="Q5" s="640">
        <v>14</v>
      </c>
      <c r="R5" s="640">
        <v>15</v>
      </c>
      <c r="S5" s="640">
        <v>16</v>
      </c>
      <c r="T5" s="640">
        <v>17</v>
      </c>
      <c r="U5" s="640">
        <v>18</v>
      </c>
      <c r="V5" s="640">
        <v>19</v>
      </c>
      <c r="W5" s="640">
        <v>20</v>
      </c>
      <c r="X5" s="640">
        <v>21</v>
      </c>
      <c r="Y5" s="640">
        <v>22</v>
      </c>
      <c r="Z5" s="640">
        <v>23</v>
      </c>
      <c r="AA5" s="640">
        <v>24</v>
      </c>
      <c r="AB5" s="641">
        <f>IF(FCAS!$H$14=D5,1,0)</f>
        <v>0</v>
      </c>
      <c r="AC5" s="641">
        <f>IF(FCAS!$H$14=E5,1,0)</f>
        <v>0</v>
      </c>
      <c r="AD5" s="641">
        <f>IF(FCAS!$H$14=F5,1,0)</f>
        <v>0</v>
      </c>
      <c r="AE5" s="641">
        <f>IF(FCAS!$H$14=G5,1,0)</f>
        <v>0</v>
      </c>
      <c r="AF5" s="641">
        <f>IF(FCAS!$H$14=H5,1,0)</f>
        <v>0</v>
      </c>
      <c r="AG5" s="641">
        <f>IF(FCAS!$H$14=I5,1,0)</f>
        <v>0</v>
      </c>
      <c r="AH5" s="641">
        <f>IF(FCAS!$H$14=J5,1,0)</f>
        <v>0</v>
      </c>
      <c r="AI5" s="641">
        <f>IF(FCAS!$H$14=K5,1,0)</f>
        <v>0</v>
      </c>
      <c r="AJ5" s="641">
        <f>IF(FCAS!$H$14=L5,1,0)</f>
        <v>0</v>
      </c>
      <c r="AK5" s="641">
        <f>IF(FCAS!$H$14=M5,1,0)</f>
        <v>0</v>
      </c>
      <c r="AL5" s="641">
        <f>IF(FCAS!$H$14=N5,1,0)</f>
        <v>0</v>
      </c>
      <c r="AM5" s="641">
        <f>IF(FCAS!$H$14=O5,1,0)</f>
        <v>0</v>
      </c>
      <c r="AN5" s="641">
        <f>IF(FCAS!$H$14=P5,1,0)</f>
        <v>0</v>
      </c>
      <c r="AO5" s="641">
        <f>IF(FCAS!$H$14=Q5,1,0)</f>
        <v>1</v>
      </c>
      <c r="AP5" s="641">
        <f>IF(FCAS!$H$14=R5,1,0)</f>
        <v>0</v>
      </c>
      <c r="AQ5" s="641">
        <f>IF(FCAS!$H$14=S5,1,0)</f>
        <v>0</v>
      </c>
      <c r="AR5" s="641">
        <f>IF(FCAS!$H$14=T5,1,0)</f>
        <v>0</v>
      </c>
      <c r="AS5" s="641">
        <f>IF(FCAS!$H$14=U5,1,0)</f>
        <v>0</v>
      </c>
      <c r="AT5" s="641">
        <f>IF(FCAS!$H$14=V5,1,0)</f>
        <v>0</v>
      </c>
      <c r="AU5" s="641">
        <f>IF(FCAS!$H$14=W5,1,0)</f>
        <v>0</v>
      </c>
      <c r="AV5" s="641">
        <f>IF(FCAS!$H$14=X5,1,0)</f>
        <v>0</v>
      </c>
      <c r="AW5" s="641">
        <f>IF(FCAS!$H$14=Y5,1,0)</f>
        <v>0</v>
      </c>
      <c r="AX5" s="641">
        <f>IF(FCAS!$H$14=Z5,1,0)</f>
        <v>0</v>
      </c>
      <c r="AY5" s="641">
        <f>IF(FCAS!$H$14=AA5,1,0)</f>
        <v>0</v>
      </c>
      <c r="AZ5" s="642">
        <f>SUM(AB5:AY5)</f>
        <v>1</v>
      </c>
      <c r="BA5" s="545" t="s">
        <v>268</v>
      </c>
    </row>
    <row r="6" spans="1:78" x14ac:dyDescent="0.2">
      <c r="A6" s="480">
        <v>6</v>
      </c>
      <c r="B6" s="635">
        <v>1</v>
      </c>
      <c r="C6" s="635">
        <v>2</v>
      </c>
      <c r="D6" s="639">
        <v>3</v>
      </c>
      <c r="E6" s="639">
        <v>4</v>
      </c>
      <c r="F6" s="639">
        <v>5</v>
      </c>
      <c r="G6" s="639">
        <v>6</v>
      </c>
      <c r="H6" s="639">
        <v>7</v>
      </c>
      <c r="I6" s="639">
        <v>8</v>
      </c>
      <c r="J6" s="639">
        <v>9</v>
      </c>
      <c r="K6" s="639">
        <v>10</v>
      </c>
      <c r="L6" s="639">
        <v>11</v>
      </c>
      <c r="M6" s="639">
        <v>12</v>
      </c>
      <c r="N6" s="639">
        <v>13</v>
      </c>
      <c r="O6" s="639">
        <v>14</v>
      </c>
      <c r="P6" s="639">
        <v>15</v>
      </c>
      <c r="Q6" s="639">
        <v>16</v>
      </c>
      <c r="R6" s="639">
        <v>17</v>
      </c>
      <c r="S6" s="639">
        <v>18</v>
      </c>
      <c r="T6" s="639">
        <v>19</v>
      </c>
      <c r="U6" s="639">
        <v>20</v>
      </c>
      <c r="V6" s="639">
        <v>21</v>
      </c>
      <c r="W6" s="639">
        <v>22</v>
      </c>
      <c r="X6" s="639">
        <v>23</v>
      </c>
      <c r="Y6" s="639">
        <v>24</v>
      </c>
      <c r="Z6" s="639">
        <v>25</v>
      </c>
      <c r="AA6" s="639">
        <v>26</v>
      </c>
      <c r="AB6" s="635">
        <v>27</v>
      </c>
      <c r="AC6" s="635">
        <v>28</v>
      </c>
      <c r="AD6" s="635">
        <v>29</v>
      </c>
      <c r="AE6" s="635">
        <v>30</v>
      </c>
      <c r="AF6" s="635">
        <v>31</v>
      </c>
      <c r="AG6" s="635">
        <v>32</v>
      </c>
      <c r="AH6" s="635">
        <v>33</v>
      </c>
      <c r="AI6" s="635">
        <v>34</v>
      </c>
      <c r="AJ6" s="635">
        <v>35</v>
      </c>
      <c r="AK6" s="635">
        <v>36</v>
      </c>
      <c r="AL6" s="635">
        <v>37</v>
      </c>
      <c r="AM6" s="635">
        <v>38</v>
      </c>
      <c r="AN6" s="635">
        <v>39</v>
      </c>
      <c r="AO6" s="635">
        <v>40</v>
      </c>
      <c r="AP6" s="635">
        <v>41</v>
      </c>
      <c r="AQ6" s="635">
        <v>42</v>
      </c>
      <c r="AR6" s="635">
        <v>43</v>
      </c>
      <c r="AS6" s="635">
        <v>44</v>
      </c>
      <c r="AT6" s="635">
        <v>45</v>
      </c>
      <c r="AU6" s="635">
        <v>46</v>
      </c>
      <c r="AV6" s="635">
        <v>47</v>
      </c>
      <c r="AW6" s="635">
        <v>48</v>
      </c>
      <c r="AX6" s="635">
        <v>49</v>
      </c>
      <c r="AY6" s="635">
        <v>50</v>
      </c>
      <c r="AZ6" s="635">
        <v>51</v>
      </c>
      <c r="BA6" s="635">
        <v>52</v>
      </c>
    </row>
    <row r="7" spans="1:78" x14ac:dyDescent="0.2">
      <c r="A7" s="480">
        <v>7</v>
      </c>
      <c r="C7" s="511" t="s">
        <v>269</v>
      </c>
      <c r="D7" s="676">
        <v>0.01</v>
      </c>
      <c r="E7" s="676">
        <v>0.25</v>
      </c>
      <c r="F7" s="676">
        <v>0.02</v>
      </c>
      <c r="G7" s="676">
        <v>0.15</v>
      </c>
      <c r="H7" s="676">
        <v>0.03</v>
      </c>
      <c r="I7" s="676">
        <v>0.04</v>
      </c>
      <c r="J7" s="676">
        <v>0.5</v>
      </c>
      <c r="K7" s="676">
        <v>0.25</v>
      </c>
      <c r="L7" s="676">
        <v>0.05</v>
      </c>
      <c r="M7" s="676">
        <v>0.3</v>
      </c>
      <c r="N7" s="676">
        <v>0.55000000000000004</v>
      </c>
      <c r="O7" s="676">
        <v>0.06</v>
      </c>
      <c r="P7" s="676">
        <v>0.61</v>
      </c>
      <c r="Q7" s="676">
        <v>2.8E-3</v>
      </c>
      <c r="R7" s="676">
        <v>0.08</v>
      </c>
      <c r="S7" s="676">
        <v>0.09</v>
      </c>
      <c r="T7" s="676">
        <v>0.08</v>
      </c>
      <c r="U7" s="676">
        <v>7.0000000000000007E-2</v>
      </c>
      <c r="V7" s="676">
        <v>0.06</v>
      </c>
      <c r="W7" s="676">
        <v>0.05</v>
      </c>
      <c r="X7" s="676">
        <v>0.04</v>
      </c>
      <c r="Y7" s="676">
        <v>0.03</v>
      </c>
      <c r="Z7" s="676">
        <v>0.02</v>
      </c>
      <c r="AA7" s="676">
        <v>0.01</v>
      </c>
      <c r="AB7" s="644">
        <v>0</v>
      </c>
      <c r="AC7" s="644">
        <v>0</v>
      </c>
      <c r="AD7" s="644">
        <v>0</v>
      </c>
      <c r="AE7" s="644">
        <v>0</v>
      </c>
      <c r="AF7" s="644">
        <v>0</v>
      </c>
      <c r="AG7" s="644">
        <v>0</v>
      </c>
      <c r="AH7" s="644">
        <v>0</v>
      </c>
      <c r="AI7" s="644">
        <v>0</v>
      </c>
      <c r="AJ7" s="644">
        <v>0</v>
      </c>
      <c r="AK7" s="644">
        <v>0</v>
      </c>
      <c r="AL7" s="644">
        <v>0</v>
      </c>
      <c r="AM7" s="644">
        <v>0</v>
      </c>
      <c r="AN7" s="644">
        <v>0</v>
      </c>
      <c r="AO7" s="644">
        <v>0</v>
      </c>
      <c r="AP7" s="644">
        <v>0</v>
      </c>
      <c r="AQ7" s="644">
        <v>0</v>
      </c>
      <c r="AR7" s="644">
        <v>0</v>
      </c>
      <c r="AS7" s="644">
        <v>0</v>
      </c>
      <c r="AT7" s="644">
        <v>0</v>
      </c>
      <c r="AU7" s="644">
        <v>0</v>
      </c>
      <c r="AV7" s="644">
        <v>0</v>
      </c>
      <c r="AW7" s="644">
        <v>0</v>
      </c>
      <c r="AX7" s="644">
        <v>0</v>
      </c>
      <c r="AY7" s="644">
        <v>0</v>
      </c>
      <c r="AZ7" s="644">
        <v>0</v>
      </c>
      <c r="BA7" s="645">
        <v>0</v>
      </c>
    </row>
    <row r="8" spans="1:78" ht="12.75" x14ac:dyDescent="0.2">
      <c r="A8" s="480">
        <v>8</v>
      </c>
      <c r="B8" s="636">
        <v>1</v>
      </c>
      <c r="C8" s="547"/>
      <c r="D8" s="548"/>
      <c r="E8" s="549"/>
      <c r="F8" s="549"/>
      <c r="G8" s="549"/>
      <c r="H8" s="549"/>
      <c r="I8" s="549"/>
      <c r="J8" s="550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456"/>
      <c r="BA8" s="643"/>
    </row>
    <row r="9" spans="1:78" x14ac:dyDescent="0.2">
      <c r="A9" s="480">
        <v>9</v>
      </c>
      <c r="B9" s="637">
        <f>B8+1</f>
        <v>2</v>
      </c>
      <c r="C9" s="672" t="s">
        <v>270</v>
      </c>
      <c r="D9" s="516">
        <v>755.02</v>
      </c>
      <c r="E9" s="517">
        <v>943.78</v>
      </c>
      <c r="F9" s="517">
        <v>962.66</v>
      </c>
      <c r="G9" s="518">
        <v>1085.3499999999999</v>
      </c>
      <c r="H9" s="518">
        <v>1302.4100000000001</v>
      </c>
      <c r="I9" s="519">
        <v>1354.61</v>
      </c>
      <c r="J9" s="520">
        <v>1953.61</v>
      </c>
      <c r="K9" s="521">
        <v>2442.02</v>
      </c>
      <c r="L9" s="522">
        <v>3174.62</v>
      </c>
      <c r="M9" s="523">
        <v>3251.05</v>
      </c>
      <c r="N9" s="522">
        <v>4920.67</v>
      </c>
      <c r="O9" s="524">
        <v>4920.67</v>
      </c>
      <c r="P9" s="525">
        <v>7922.28</v>
      </c>
      <c r="Q9" s="525">
        <v>7922.28</v>
      </c>
      <c r="R9" s="525">
        <v>2</v>
      </c>
      <c r="S9" s="525">
        <v>3</v>
      </c>
      <c r="T9" s="525">
        <v>4</v>
      </c>
      <c r="U9" s="525">
        <v>5</v>
      </c>
      <c r="V9" s="525">
        <v>6</v>
      </c>
      <c r="W9" s="525">
        <v>7</v>
      </c>
      <c r="X9" s="525">
        <v>8</v>
      </c>
      <c r="Y9" s="525">
        <v>9</v>
      </c>
      <c r="Z9" s="525">
        <v>10</v>
      </c>
      <c r="AA9" s="525">
        <v>11</v>
      </c>
      <c r="AB9" s="526">
        <f>(D9*$AB$5)</f>
        <v>0</v>
      </c>
      <c r="AC9" s="527">
        <f>(E9*$AC$5)</f>
        <v>0</v>
      </c>
      <c r="AD9" s="527">
        <f>(F9*$AD$5)</f>
        <v>0</v>
      </c>
      <c r="AE9" s="528">
        <f t="shared" ref="AE9:AE40" si="2">(G9*$AE$5)</f>
        <v>0</v>
      </c>
      <c r="AF9" s="528">
        <f>(H9*$AF$5)</f>
        <v>0</v>
      </c>
      <c r="AG9" s="528">
        <f>(I9*$AG$5)</f>
        <v>0</v>
      </c>
      <c r="AH9" s="529">
        <f>(J9*$AH$5)</f>
        <v>0</v>
      </c>
      <c r="AI9" s="530">
        <f>(K9*$AI$5)</f>
        <v>0</v>
      </c>
      <c r="AJ9" s="530">
        <f>(L9*$AJ$5)</f>
        <v>0</v>
      </c>
      <c r="AK9" s="530">
        <f>(M9*$AK$5)</f>
        <v>0</v>
      </c>
      <c r="AL9" s="530">
        <f>(N9*$AL$5)</f>
        <v>0</v>
      </c>
      <c r="AM9" s="530">
        <f>(O9*$AM$5)</f>
        <v>0</v>
      </c>
      <c r="AN9" s="531">
        <f>(P9*$AN$5)</f>
        <v>0</v>
      </c>
      <c r="AO9" s="531">
        <f>(Q9*$AO$5)</f>
        <v>7922.28</v>
      </c>
      <c r="AP9" s="531">
        <f>(R9*$AP$5)</f>
        <v>0</v>
      </c>
      <c r="AQ9" s="531">
        <f>(S9*$AQ$5)</f>
        <v>0</v>
      </c>
      <c r="AR9" s="531">
        <f>(T9*$AR$5)</f>
        <v>0</v>
      </c>
      <c r="AS9" s="531">
        <f>(U9*$AS$5)</f>
        <v>0</v>
      </c>
      <c r="AT9" s="531">
        <f>(V9*$AT$5)</f>
        <v>0</v>
      </c>
      <c r="AU9" s="531">
        <f>(W9*$AU$5)</f>
        <v>0</v>
      </c>
      <c r="AV9" s="531">
        <f>(X9*$AV$5)</f>
        <v>0</v>
      </c>
      <c r="AW9" s="531">
        <f>(Y9*$AW$5)</f>
        <v>0</v>
      </c>
      <c r="AX9" s="531">
        <f>(Z9*$AX$5)</f>
        <v>0</v>
      </c>
      <c r="AY9" s="531">
        <f>(AA9*$AY$5)</f>
        <v>0</v>
      </c>
      <c r="AZ9" s="510">
        <f>ROUND((SUM(AB9:AY9)/$AZ$5),2)</f>
        <v>7922.28</v>
      </c>
      <c r="BA9" s="643"/>
    </row>
    <row r="10" spans="1:78" x14ac:dyDescent="0.2">
      <c r="A10" s="480">
        <v>10</v>
      </c>
      <c r="B10" s="637">
        <f t="shared" ref="B10:B73" si="3">B9+1</f>
        <v>3</v>
      </c>
      <c r="C10" s="672" t="s">
        <v>271</v>
      </c>
      <c r="D10" s="516">
        <v>675.06</v>
      </c>
      <c r="E10" s="517">
        <v>843.83</v>
      </c>
      <c r="F10" s="517">
        <v>860.71</v>
      </c>
      <c r="G10" s="518">
        <v>970.4</v>
      </c>
      <c r="H10" s="518">
        <v>1164.48</v>
      </c>
      <c r="I10" s="519">
        <v>1354.61</v>
      </c>
      <c r="J10" s="520">
        <v>1746.72</v>
      </c>
      <c r="K10" s="521">
        <v>2183.4</v>
      </c>
      <c r="L10" s="522">
        <v>2838.42</v>
      </c>
      <c r="M10" s="523">
        <v>3251.05</v>
      </c>
      <c r="N10" s="522">
        <v>4399.55</v>
      </c>
      <c r="O10" s="524">
        <v>4551.47</v>
      </c>
      <c r="P10" s="525">
        <v>7083.28</v>
      </c>
      <c r="Q10" s="525">
        <v>7083.28</v>
      </c>
      <c r="R10" s="525">
        <v>2</v>
      </c>
      <c r="S10" s="525">
        <v>3</v>
      </c>
      <c r="T10" s="525">
        <v>4</v>
      </c>
      <c r="U10" s="525">
        <v>5</v>
      </c>
      <c r="V10" s="525">
        <v>6</v>
      </c>
      <c r="W10" s="525">
        <v>7</v>
      </c>
      <c r="X10" s="525">
        <v>8</v>
      </c>
      <c r="Y10" s="525">
        <v>9</v>
      </c>
      <c r="Z10" s="525">
        <v>10</v>
      </c>
      <c r="AA10" s="525">
        <v>11</v>
      </c>
      <c r="AB10" s="526">
        <f t="shared" ref="AB10:AB73" si="4">(D10*$AB$5)</f>
        <v>0</v>
      </c>
      <c r="AC10" s="527">
        <f t="shared" ref="AC10:AC73" si="5">(E10*$AC$5)</f>
        <v>0</v>
      </c>
      <c r="AD10" s="527">
        <f t="shared" ref="AD10:AD73" si="6">(F10*$AD$5)</f>
        <v>0</v>
      </c>
      <c r="AE10" s="528">
        <f t="shared" si="2"/>
        <v>0</v>
      </c>
      <c r="AF10" s="528">
        <f t="shared" ref="AF10:AF73" si="7">(H10*$AF$5)</f>
        <v>0</v>
      </c>
      <c r="AG10" s="528">
        <f t="shared" ref="AG10:AG73" si="8">(I10*$AG$5)</f>
        <v>0</v>
      </c>
      <c r="AH10" s="529">
        <f t="shared" ref="AH10:AH73" si="9">(J10*$AH$5)</f>
        <v>0</v>
      </c>
      <c r="AI10" s="530">
        <f t="shared" ref="AI10:AI73" si="10">(K10*$AI$5)</f>
        <v>0</v>
      </c>
      <c r="AJ10" s="530">
        <f t="shared" ref="AJ10:AJ73" si="11">(L10*$AJ$5)</f>
        <v>0</v>
      </c>
      <c r="AK10" s="530">
        <f t="shared" ref="AK10:AK73" si="12">(M10*$AK$5)</f>
        <v>0</v>
      </c>
      <c r="AL10" s="530">
        <f t="shared" ref="AL10:AL73" si="13">(N10*$AL$5)</f>
        <v>0</v>
      </c>
      <c r="AM10" s="530">
        <f t="shared" ref="AM10:AM73" si="14">(O10*$AM$5)</f>
        <v>0</v>
      </c>
      <c r="AN10" s="531">
        <f t="shared" ref="AN10:AN73" si="15">(P10*$AN$5)</f>
        <v>0</v>
      </c>
      <c r="AO10" s="531">
        <f t="shared" ref="AO10:AO73" si="16">(Q10*$AO$5)</f>
        <v>7083.28</v>
      </c>
      <c r="AP10" s="531">
        <f t="shared" ref="AP10:AP73" si="17">(R10*$AP$5)</f>
        <v>0</v>
      </c>
      <c r="AQ10" s="531">
        <f t="shared" ref="AQ10:AQ73" si="18">(S10*$AQ$5)</f>
        <v>0</v>
      </c>
      <c r="AR10" s="531">
        <f t="shared" ref="AR10:AR73" si="19">(T10*$AR$5)</f>
        <v>0</v>
      </c>
      <c r="AS10" s="531">
        <f t="shared" ref="AS10:AS73" si="20">(U10*$AS$5)</f>
        <v>0</v>
      </c>
      <c r="AT10" s="531">
        <f t="shared" ref="AT10:AT73" si="21">(V10*$AT$5)</f>
        <v>0</v>
      </c>
      <c r="AU10" s="531">
        <f t="shared" ref="AU10:AU73" si="22">(W10*$AU$5)</f>
        <v>0</v>
      </c>
      <c r="AV10" s="531">
        <f t="shared" ref="AV10:AV73" si="23">(X10*$AV$5)</f>
        <v>0</v>
      </c>
      <c r="AW10" s="531">
        <f t="shared" ref="AW10:AW73" si="24">(Y10*$AW$5)</f>
        <v>0</v>
      </c>
      <c r="AX10" s="531">
        <f t="shared" ref="AX10:AX73" si="25">(Z10*$AX$5)</f>
        <v>0</v>
      </c>
      <c r="AY10" s="531">
        <f t="shared" ref="AY10:AY73" si="26">(AA10*$AY$5)</f>
        <v>0</v>
      </c>
      <c r="AZ10" s="510">
        <f t="shared" ref="AZ10:AZ73" si="27">ROUND((SUM(AB10:AY10)/$AZ$5),2)</f>
        <v>7083.28</v>
      </c>
      <c r="BA10" s="643"/>
    </row>
    <row r="11" spans="1:78" x14ac:dyDescent="0.2">
      <c r="A11" s="480">
        <v>11</v>
      </c>
      <c r="B11" s="637">
        <f t="shared" si="3"/>
        <v>4</v>
      </c>
      <c r="C11" s="672" t="s">
        <v>272</v>
      </c>
      <c r="D11" s="516">
        <v>755.02</v>
      </c>
      <c r="E11" s="517">
        <v>943.78</v>
      </c>
      <c r="F11" s="517">
        <v>962.66</v>
      </c>
      <c r="G11" s="518">
        <v>1085.3499999999999</v>
      </c>
      <c r="H11" s="518">
        <v>1302.4100000000001</v>
      </c>
      <c r="I11" s="519">
        <v>1354.61</v>
      </c>
      <c r="J11" s="520">
        <v>1953.61</v>
      </c>
      <c r="K11" s="521">
        <v>2442.02</v>
      </c>
      <c r="L11" s="522">
        <v>3174.62</v>
      </c>
      <c r="M11" s="523">
        <v>3251.05</v>
      </c>
      <c r="N11" s="522">
        <v>4920.67</v>
      </c>
      <c r="O11" s="524">
        <v>4920.67</v>
      </c>
      <c r="P11" s="525">
        <v>7922.28</v>
      </c>
      <c r="Q11" s="525">
        <v>7922.28</v>
      </c>
      <c r="R11" s="525">
        <v>2</v>
      </c>
      <c r="S11" s="525">
        <v>3</v>
      </c>
      <c r="T11" s="525">
        <v>4</v>
      </c>
      <c r="U11" s="525">
        <v>5</v>
      </c>
      <c r="V11" s="525">
        <v>6</v>
      </c>
      <c r="W11" s="525">
        <v>7</v>
      </c>
      <c r="X11" s="525">
        <v>8</v>
      </c>
      <c r="Y11" s="525">
        <v>9</v>
      </c>
      <c r="Z11" s="525">
        <v>10</v>
      </c>
      <c r="AA11" s="525">
        <v>11</v>
      </c>
      <c r="AB11" s="526">
        <f t="shared" si="4"/>
        <v>0</v>
      </c>
      <c r="AC11" s="527">
        <f t="shared" si="5"/>
        <v>0</v>
      </c>
      <c r="AD11" s="527">
        <f t="shared" si="6"/>
        <v>0</v>
      </c>
      <c r="AE11" s="528">
        <f t="shared" si="2"/>
        <v>0</v>
      </c>
      <c r="AF11" s="528">
        <f t="shared" si="7"/>
        <v>0</v>
      </c>
      <c r="AG11" s="528">
        <f t="shared" si="8"/>
        <v>0</v>
      </c>
      <c r="AH11" s="529">
        <f t="shared" si="9"/>
        <v>0</v>
      </c>
      <c r="AI11" s="530">
        <f t="shared" si="10"/>
        <v>0</v>
      </c>
      <c r="AJ11" s="530">
        <f t="shared" si="11"/>
        <v>0</v>
      </c>
      <c r="AK11" s="530">
        <f t="shared" si="12"/>
        <v>0</v>
      </c>
      <c r="AL11" s="530">
        <f t="shared" si="13"/>
        <v>0</v>
      </c>
      <c r="AM11" s="530">
        <f t="shared" si="14"/>
        <v>0</v>
      </c>
      <c r="AN11" s="531">
        <f t="shared" si="15"/>
        <v>0</v>
      </c>
      <c r="AO11" s="531">
        <f t="shared" si="16"/>
        <v>7922.28</v>
      </c>
      <c r="AP11" s="531">
        <f t="shared" si="17"/>
        <v>0</v>
      </c>
      <c r="AQ11" s="531">
        <f t="shared" si="18"/>
        <v>0</v>
      </c>
      <c r="AR11" s="531">
        <f t="shared" si="19"/>
        <v>0</v>
      </c>
      <c r="AS11" s="531">
        <f t="shared" si="20"/>
        <v>0</v>
      </c>
      <c r="AT11" s="531">
        <f t="shared" si="21"/>
        <v>0</v>
      </c>
      <c r="AU11" s="531">
        <f t="shared" si="22"/>
        <v>0</v>
      </c>
      <c r="AV11" s="531">
        <f t="shared" si="23"/>
        <v>0</v>
      </c>
      <c r="AW11" s="531">
        <f t="shared" si="24"/>
        <v>0</v>
      </c>
      <c r="AX11" s="531">
        <f t="shared" si="25"/>
        <v>0</v>
      </c>
      <c r="AY11" s="531">
        <f t="shared" si="26"/>
        <v>0</v>
      </c>
      <c r="AZ11" s="510">
        <f t="shared" si="27"/>
        <v>7922.28</v>
      </c>
      <c r="BA11" s="643"/>
    </row>
    <row r="12" spans="1:78" x14ac:dyDescent="0.2">
      <c r="A12" s="480">
        <v>12</v>
      </c>
      <c r="B12" s="637">
        <f t="shared" si="3"/>
        <v>5</v>
      </c>
      <c r="C12" s="672" t="s">
        <v>273</v>
      </c>
      <c r="D12" s="516">
        <v>963.14</v>
      </c>
      <c r="E12" s="517">
        <v>1203.93</v>
      </c>
      <c r="F12" s="517">
        <v>1228.01</v>
      </c>
      <c r="G12" s="518">
        <v>1384.52</v>
      </c>
      <c r="H12" s="518">
        <v>1661.42</v>
      </c>
      <c r="I12" s="532">
        <v>1661.42</v>
      </c>
      <c r="J12" s="520">
        <v>2492.12</v>
      </c>
      <c r="K12" s="521">
        <v>3115.16</v>
      </c>
      <c r="L12" s="522">
        <v>4049.7</v>
      </c>
      <c r="M12" s="523">
        <v>4049.7</v>
      </c>
      <c r="N12" s="522">
        <v>6277.04</v>
      </c>
      <c r="O12" s="524">
        <v>6277.04</v>
      </c>
      <c r="P12" s="525">
        <v>10106.049999999999</v>
      </c>
      <c r="Q12" s="525">
        <v>10106.049999999999</v>
      </c>
      <c r="R12" s="525">
        <v>2</v>
      </c>
      <c r="S12" s="525">
        <v>3</v>
      </c>
      <c r="T12" s="525">
        <v>4</v>
      </c>
      <c r="U12" s="525">
        <v>5</v>
      </c>
      <c r="V12" s="525">
        <v>6</v>
      </c>
      <c r="W12" s="525">
        <v>7</v>
      </c>
      <c r="X12" s="525">
        <v>8</v>
      </c>
      <c r="Y12" s="525">
        <v>9</v>
      </c>
      <c r="Z12" s="525">
        <v>10</v>
      </c>
      <c r="AA12" s="525">
        <v>11</v>
      </c>
      <c r="AB12" s="526">
        <f t="shared" si="4"/>
        <v>0</v>
      </c>
      <c r="AC12" s="527">
        <f t="shared" si="5"/>
        <v>0</v>
      </c>
      <c r="AD12" s="527">
        <f t="shared" si="6"/>
        <v>0</v>
      </c>
      <c r="AE12" s="528">
        <f t="shared" si="2"/>
        <v>0</v>
      </c>
      <c r="AF12" s="528">
        <f t="shared" si="7"/>
        <v>0</v>
      </c>
      <c r="AG12" s="528">
        <f t="shared" si="8"/>
        <v>0</v>
      </c>
      <c r="AH12" s="529">
        <f t="shared" si="9"/>
        <v>0</v>
      </c>
      <c r="AI12" s="530">
        <f t="shared" si="10"/>
        <v>0</v>
      </c>
      <c r="AJ12" s="530">
        <f t="shared" si="11"/>
        <v>0</v>
      </c>
      <c r="AK12" s="530">
        <f t="shared" si="12"/>
        <v>0</v>
      </c>
      <c r="AL12" s="530">
        <f t="shared" si="13"/>
        <v>0</v>
      </c>
      <c r="AM12" s="530">
        <f t="shared" si="14"/>
        <v>0</v>
      </c>
      <c r="AN12" s="531">
        <f t="shared" si="15"/>
        <v>0</v>
      </c>
      <c r="AO12" s="531">
        <f t="shared" si="16"/>
        <v>10106.049999999999</v>
      </c>
      <c r="AP12" s="531">
        <f t="shared" si="17"/>
        <v>0</v>
      </c>
      <c r="AQ12" s="531">
        <f t="shared" si="18"/>
        <v>0</v>
      </c>
      <c r="AR12" s="531">
        <f t="shared" si="19"/>
        <v>0</v>
      </c>
      <c r="AS12" s="531">
        <f t="shared" si="20"/>
        <v>0</v>
      </c>
      <c r="AT12" s="531">
        <f t="shared" si="21"/>
        <v>0</v>
      </c>
      <c r="AU12" s="531">
        <f t="shared" si="22"/>
        <v>0</v>
      </c>
      <c r="AV12" s="531">
        <f t="shared" si="23"/>
        <v>0</v>
      </c>
      <c r="AW12" s="531">
        <f t="shared" si="24"/>
        <v>0</v>
      </c>
      <c r="AX12" s="531">
        <f t="shared" si="25"/>
        <v>0</v>
      </c>
      <c r="AY12" s="531">
        <f t="shared" si="26"/>
        <v>0</v>
      </c>
      <c r="AZ12" s="510">
        <f t="shared" si="27"/>
        <v>10106.049999999999</v>
      </c>
      <c r="BA12" s="643"/>
    </row>
    <row r="13" spans="1:78" x14ac:dyDescent="0.2">
      <c r="A13" s="480">
        <v>13</v>
      </c>
      <c r="B13" s="637">
        <f t="shared" si="3"/>
        <v>6</v>
      </c>
      <c r="C13" s="672" t="s">
        <v>274</v>
      </c>
      <c r="D13" s="516">
        <v>755.02</v>
      </c>
      <c r="E13" s="517">
        <v>943.78</v>
      </c>
      <c r="F13" s="517">
        <v>962.66</v>
      </c>
      <c r="G13" s="518">
        <v>1085.3499999999999</v>
      </c>
      <c r="H13" s="518">
        <v>1302.4100000000001</v>
      </c>
      <c r="I13" s="519">
        <v>1354.61</v>
      </c>
      <c r="J13" s="520">
        <v>1953.61</v>
      </c>
      <c r="K13" s="521">
        <v>2442.02</v>
      </c>
      <c r="L13" s="522">
        <v>3174.62</v>
      </c>
      <c r="M13" s="523">
        <v>3251.05</v>
      </c>
      <c r="N13" s="522">
        <v>4920.67</v>
      </c>
      <c r="O13" s="524">
        <v>4920.67</v>
      </c>
      <c r="P13" s="525">
        <v>7922.28</v>
      </c>
      <c r="Q13" s="525">
        <v>7922.28</v>
      </c>
      <c r="R13" s="525">
        <v>2</v>
      </c>
      <c r="S13" s="525">
        <v>3</v>
      </c>
      <c r="T13" s="525">
        <v>4</v>
      </c>
      <c r="U13" s="525">
        <v>5</v>
      </c>
      <c r="V13" s="525">
        <v>6</v>
      </c>
      <c r="W13" s="525">
        <v>7</v>
      </c>
      <c r="X13" s="525">
        <v>8</v>
      </c>
      <c r="Y13" s="525">
        <v>9</v>
      </c>
      <c r="Z13" s="525">
        <v>10</v>
      </c>
      <c r="AA13" s="525">
        <v>11</v>
      </c>
      <c r="AB13" s="526">
        <f t="shared" si="4"/>
        <v>0</v>
      </c>
      <c r="AC13" s="527">
        <f t="shared" si="5"/>
        <v>0</v>
      </c>
      <c r="AD13" s="527">
        <f t="shared" si="6"/>
        <v>0</v>
      </c>
      <c r="AE13" s="528">
        <f t="shared" si="2"/>
        <v>0</v>
      </c>
      <c r="AF13" s="528">
        <f t="shared" si="7"/>
        <v>0</v>
      </c>
      <c r="AG13" s="528">
        <f t="shared" si="8"/>
        <v>0</v>
      </c>
      <c r="AH13" s="529">
        <f t="shared" si="9"/>
        <v>0</v>
      </c>
      <c r="AI13" s="530">
        <f t="shared" si="10"/>
        <v>0</v>
      </c>
      <c r="AJ13" s="530">
        <f t="shared" si="11"/>
        <v>0</v>
      </c>
      <c r="AK13" s="530">
        <f t="shared" si="12"/>
        <v>0</v>
      </c>
      <c r="AL13" s="530">
        <f t="shared" si="13"/>
        <v>0</v>
      </c>
      <c r="AM13" s="530">
        <f t="shared" si="14"/>
        <v>0</v>
      </c>
      <c r="AN13" s="531">
        <f t="shared" si="15"/>
        <v>0</v>
      </c>
      <c r="AO13" s="531">
        <f t="shared" si="16"/>
        <v>7922.28</v>
      </c>
      <c r="AP13" s="531">
        <f t="shared" si="17"/>
        <v>0</v>
      </c>
      <c r="AQ13" s="531">
        <f t="shared" si="18"/>
        <v>0</v>
      </c>
      <c r="AR13" s="531">
        <f t="shared" si="19"/>
        <v>0</v>
      </c>
      <c r="AS13" s="531">
        <f t="shared" si="20"/>
        <v>0</v>
      </c>
      <c r="AT13" s="531">
        <f t="shared" si="21"/>
        <v>0</v>
      </c>
      <c r="AU13" s="531">
        <f t="shared" si="22"/>
        <v>0</v>
      </c>
      <c r="AV13" s="531">
        <f t="shared" si="23"/>
        <v>0</v>
      </c>
      <c r="AW13" s="531">
        <f t="shared" si="24"/>
        <v>0</v>
      </c>
      <c r="AX13" s="531">
        <f t="shared" si="25"/>
        <v>0</v>
      </c>
      <c r="AY13" s="531">
        <f t="shared" si="26"/>
        <v>0</v>
      </c>
      <c r="AZ13" s="510">
        <f t="shared" si="27"/>
        <v>7922.28</v>
      </c>
      <c r="BA13" s="643"/>
    </row>
    <row r="14" spans="1:78" x14ac:dyDescent="0.2">
      <c r="A14" s="480">
        <v>14</v>
      </c>
      <c r="B14" s="637">
        <f t="shared" si="3"/>
        <v>7</v>
      </c>
      <c r="C14" s="672" t="s">
        <v>275</v>
      </c>
      <c r="D14" s="516">
        <v>610.14</v>
      </c>
      <c r="E14" s="517">
        <v>762.68</v>
      </c>
      <c r="F14" s="517">
        <v>777.93</v>
      </c>
      <c r="G14" s="518">
        <v>877.08</v>
      </c>
      <c r="H14" s="518">
        <v>1052.49</v>
      </c>
      <c r="I14" s="519">
        <v>1354.61</v>
      </c>
      <c r="J14" s="520">
        <v>1578.74</v>
      </c>
      <c r="K14" s="521">
        <v>2167.37</v>
      </c>
      <c r="L14" s="522">
        <v>2565.4499999999998</v>
      </c>
      <c r="M14" s="523">
        <v>3251.05</v>
      </c>
      <c r="N14" s="522">
        <v>3976.44</v>
      </c>
      <c r="O14" s="524">
        <v>4551.47</v>
      </c>
      <c r="P14" s="525">
        <v>6402.07</v>
      </c>
      <c r="Q14" s="525">
        <v>6402.07</v>
      </c>
      <c r="R14" s="525">
        <v>2</v>
      </c>
      <c r="S14" s="525">
        <v>3</v>
      </c>
      <c r="T14" s="525">
        <v>4</v>
      </c>
      <c r="U14" s="525">
        <v>5</v>
      </c>
      <c r="V14" s="525">
        <v>6</v>
      </c>
      <c r="W14" s="525">
        <v>7</v>
      </c>
      <c r="X14" s="525">
        <v>8</v>
      </c>
      <c r="Y14" s="525">
        <v>9</v>
      </c>
      <c r="Z14" s="525">
        <v>10</v>
      </c>
      <c r="AA14" s="525">
        <v>11</v>
      </c>
      <c r="AB14" s="526">
        <f t="shared" si="4"/>
        <v>0</v>
      </c>
      <c r="AC14" s="527">
        <f t="shared" si="5"/>
        <v>0</v>
      </c>
      <c r="AD14" s="527">
        <f t="shared" si="6"/>
        <v>0</v>
      </c>
      <c r="AE14" s="528">
        <f t="shared" si="2"/>
        <v>0</v>
      </c>
      <c r="AF14" s="528">
        <f t="shared" si="7"/>
        <v>0</v>
      </c>
      <c r="AG14" s="528">
        <f t="shared" si="8"/>
        <v>0</v>
      </c>
      <c r="AH14" s="529">
        <f t="shared" si="9"/>
        <v>0</v>
      </c>
      <c r="AI14" s="530">
        <f t="shared" si="10"/>
        <v>0</v>
      </c>
      <c r="AJ14" s="530">
        <f t="shared" si="11"/>
        <v>0</v>
      </c>
      <c r="AK14" s="530">
        <f t="shared" si="12"/>
        <v>0</v>
      </c>
      <c r="AL14" s="530">
        <f t="shared" si="13"/>
        <v>0</v>
      </c>
      <c r="AM14" s="530">
        <f t="shared" si="14"/>
        <v>0</v>
      </c>
      <c r="AN14" s="531">
        <f t="shared" si="15"/>
        <v>0</v>
      </c>
      <c r="AO14" s="531">
        <f t="shared" si="16"/>
        <v>6402.07</v>
      </c>
      <c r="AP14" s="531">
        <f t="shared" si="17"/>
        <v>0</v>
      </c>
      <c r="AQ14" s="531">
        <f t="shared" si="18"/>
        <v>0</v>
      </c>
      <c r="AR14" s="531">
        <f t="shared" si="19"/>
        <v>0</v>
      </c>
      <c r="AS14" s="531">
        <f t="shared" si="20"/>
        <v>0</v>
      </c>
      <c r="AT14" s="531">
        <f t="shared" si="21"/>
        <v>0</v>
      </c>
      <c r="AU14" s="531">
        <f t="shared" si="22"/>
        <v>0</v>
      </c>
      <c r="AV14" s="531">
        <f t="shared" si="23"/>
        <v>0</v>
      </c>
      <c r="AW14" s="531">
        <f t="shared" si="24"/>
        <v>0</v>
      </c>
      <c r="AX14" s="531">
        <f t="shared" si="25"/>
        <v>0</v>
      </c>
      <c r="AY14" s="531">
        <f t="shared" si="26"/>
        <v>0</v>
      </c>
      <c r="AZ14" s="510">
        <f t="shared" si="27"/>
        <v>6402.07</v>
      </c>
      <c r="BA14" s="643"/>
    </row>
    <row r="15" spans="1:78" x14ac:dyDescent="0.2">
      <c r="A15" s="480">
        <v>15</v>
      </c>
      <c r="B15" s="637">
        <f t="shared" si="3"/>
        <v>8</v>
      </c>
      <c r="C15" s="672" t="s">
        <v>276</v>
      </c>
      <c r="D15" s="516">
        <v>602.1</v>
      </c>
      <c r="E15" s="517">
        <v>752.63</v>
      </c>
      <c r="F15" s="517">
        <v>767.68</v>
      </c>
      <c r="G15" s="518">
        <v>865.52</v>
      </c>
      <c r="H15" s="518">
        <v>1038.6199999999999</v>
      </c>
      <c r="I15" s="519">
        <v>1354.61</v>
      </c>
      <c r="J15" s="520">
        <v>1557.93</v>
      </c>
      <c r="K15" s="521">
        <v>2167.37</v>
      </c>
      <c r="L15" s="522">
        <v>2531.64</v>
      </c>
      <c r="M15" s="523">
        <v>3251.05</v>
      </c>
      <c r="N15" s="522">
        <v>3924.05</v>
      </c>
      <c r="O15" s="524">
        <v>4551.47</v>
      </c>
      <c r="P15" s="525">
        <v>6317.7</v>
      </c>
      <c r="Q15" s="525">
        <v>6317.7</v>
      </c>
      <c r="R15" s="525">
        <v>2</v>
      </c>
      <c r="S15" s="525">
        <v>3</v>
      </c>
      <c r="T15" s="525">
        <v>4</v>
      </c>
      <c r="U15" s="525">
        <v>5</v>
      </c>
      <c r="V15" s="525">
        <v>6</v>
      </c>
      <c r="W15" s="525">
        <v>7</v>
      </c>
      <c r="X15" s="525">
        <v>8</v>
      </c>
      <c r="Y15" s="525">
        <v>9</v>
      </c>
      <c r="Z15" s="525">
        <v>10</v>
      </c>
      <c r="AA15" s="525">
        <v>11</v>
      </c>
      <c r="AB15" s="526">
        <f t="shared" si="4"/>
        <v>0</v>
      </c>
      <c r="AC15" s="527">
        <f t="shared" si="5"/>
        <v>0</v>
      </c>
      <c r="AD15" s="527">
        <f t="shared" si="6"/>
        <v>0</v>
      </c>
      <c r="AE15" s="528">
        <f t="shared" si="2"/>
        <v>0</v>
      </c>
      <c r="AF15" s="528">
        <f t="shared" si="7"/>
        <v>0</v>
      </c>
      <c r="AG15" s="528">
        <f t="shared" si="8"/>
        <v>0</v>
      </c>
      <c r="AH15" s="529">
        <f t="shared" si="9"/>
        <v>0</v>
      </c>
      <c r="AI15" s="530">
        <f t="shared" si="10"/>
        <v>0</v>
      </c>
      <c r="AJ15" s="530">
        <f t="shared" si="11"/>
        <v>0</v>
      </c>
      <c r="AK15" s="530">
        <f t="shared" si="12"/>
        <v>0</v>
      </c>
      <c r="AL15" s="530">
        <f t="shared" si="13"/>
        <v>0</v>
      </c>
      <c r="AM15" s="530">
        <f t="shared" si="14"/>
        <v>0</v>
      </c>
      <c r="AN15" s="531">
        <f t="shared" si="15"/>
        <v>0</v>
      </c>
      <c r="AO15" s="531">
        <f t="shared" si="16"/>
        <v>6317.7</v>
      </c>
      <c r="AP15" s="531">
        <f t="shared" si="17"/>
        <v>0</v>
      </c>
      <c r="AQ15" s="531">
        <f t="shared" si="18"/>
        <v>0</v>
      </c>
      <c r="AR15" s="531">
        <f t="shared" si="19"/>
        <v>0</v>
      </c>
      <c r="AS15" s="531">
        <f t="shared" si="20"/>
        <v>0</v>
      </c>
      <c r="AT15" s="531">
        <f t="shared" si="21"/>
        <v>0</v>
      </c>
      <c r="AU15" s="531">
        <f t="shared" si="22"/>
        <v>0</v>
      </c>
      <c r="AV15" s="531">
        <f t="shared" si="23"/>
        <v>0</v>
      </c>
      <c r="AW15" s="531">
        <f t="shared" si="24"/>
        <v>0</v>
      </c>
      <c r="AX15" s="531">
        <f t="shared" si="25"/>
        <v>0</v>
      </c>
      <c r="AY15" s="531">
        <f t="shared" si="26"/>
        <v>0</v>
      </c>
      <c r="AZ15" s="510">
        <f t="shared" si="27"/>
        <v>6317.7</v>
      </c>
      <c r="BA15" s="643"/>
    </row>
    <row r="16" spans="1:78" x14ac:dyDescent="0.2">
      <c r="A16" s="480">
        <v>16</v>
      </c>
      <c r="B16" s="637">
        <f t="shared" si="3"/>
        <v>9</v>
      </c>
      <c r="C16" s="672" t="s">
        <v>277</v>
      </c>
      <c r="D16" s="516">
        <v>602.1</v>
      </c>
      <c r="E16" s="517">
        <v>752.63</v>
      </c>
      <c r="F16" s="517">
        <v>767.68</v>
      </c>
      <c r="G16" s="518">
        <v>865.52</v>
      </c>
      <c r="H16" s="518">
        <v>1038.6199999999999</v>
      </c>
      <c r="I16" s="519">
        <v>1354.61</v>
      </c>
      <c r="J16" s="520">
        <v>1557.93</v>
      </c>
      <c r="K16" s="521">
        <v>2167.37</v>
      </c>
      <c r="L16" s="522">
        <v>2531.64</v>
      </c>
      <c r="M16" s="523">
        <v>3251.05</v>
      </c>
      <c r="N16" s="522">
        <v>3924.05</v>
      </c>
      <c r="O16" s="524">
        <v>4551.47</v>
      </c>
      <c r="P16" s="525">
        <v>6317.7</v>
      </c>
      <c r="Q16" s="525">
        <v>6317.7</v>
      </c>
      <c r="R16" s="525">
        <v>2</v>
      </c>
      <c r="S16" s="525">
        <v>3</v>
      </c>
      <c r="T16" s="525">
        <v>4</v>
      </c>
      <c r="U16" s="525">
        <v>5</v>
      </c>
      <c r="V16" s="525">
        <v>6</v>
      </c>
      <c r="W16" s="525">
        <v>7</v>
      </c>
      <c r="X16" s="525">
        <v>8</v>
      </c>
      <c r="Y16" s="525">
        <v>9</v>
      </c>
      <c r="Z16" s="525">
        <v>10</v>
      </c>
      <c r="AA16" s="525">
        <v>11</v>
      </c>
      <c r="AB16" s="526">
        <f t="shared" si="4"/>
        <v>0</v>
      </c>
      <c r="AC16" s="527">
        <f t="shared" si="5"/>
        <v>0</v>
      </c>
      <c r="AD16" s="527">
        <f t="shared" si="6"/>
        <v>0</v>
      </c>
      <c r="AE16" s="528">
        <f t="shared" si="2"/>
        <v>0</v>
      </c>
      <c r="AF16" s="528">
        <f t="shared" si="7"/>
        <v>0</v>
      </c>
      <c r="AG16" s="528">
        <f t="shared" si="8"/>
        <v>0</v>
      </c>
      <c r="AH16" s="529">
        <f t="shared" si="9"/>
        <v>0</v>
      </c>
      <c r="AI16" s="530">
        <f t="shared" si="10"/>
        <v>0</v>
      </c>
      <c r="AJ16" s="530">
        <f t="shared" si="11"/>
        <v>0</v>
      </c>
      <c r="AK16" s="530">
        <f t="shared" si="12"/>
        <v>0</v>
      </c>
      <c r="AL16" s="530">
        <f t="shared" si="13"/>
        <v>0</v>
      </c>
      <c r="AM16" s="530">
        <f t="shared" si="14"/>
        <v>0</v>
      </c>
      <c r="AN16" s="531">
        <f t="shared" si="15"/>
        <v>0</v>
      </c>
      <c r="AO16" s="531">
        <f t="shared" si="16"/>
        <v>6317.7</v>
      </c>
      <c r="AP16" s="531">
        <f t="shared" si="17"/>
        <v>0</v>
      </c>
      <c r="AQ16" s="531">
        <f t="shared" si="18"/>
        <v>0</v>
      </c>
      <c r="AR16" s="531">
        <f t="shared" si="19"/>
        <v>0</v>
      </c>
      <c r="AS16" s="531">
        <f t="shared" si="20"/>
        <v>0</v>
      </c>
      <c r="AT16" s="531">
        <f t="shared" si="21"/>
        <v>0</v>
      </c>
      <c r="AU16" s="531">
        <f t="shared" si="22"/>
        <v>0</v>
      </c>
      <c r="AV16" s="531">
        <f t="shared" si="23"/>
        <v>0</v>
      </c>
      <c r="AW16" s="531">
        <f t="shared" si="24"/>
        <v>0</v>
      </c>
      <c r="AX16" s="531">
        <f t="shared" si="25"/>
        <v>0</v>
      </c>
      <c r="AY16" s="531">
        <f t="shared" si="26"/>
        <v>0</v>
      </c>
      <c r="AZ16" s="510">
        <f t="shared" si="27"/>
        <v>6317.7</v>
      </c>
      <c r="BA16" s="643"/>
    </row>
    <row r="17" spans="1:53" x14ac:dyDescent="0.2">
      <c r="A17" s="480">
        <v>17</v>
      </c>
      <c r="B17" s="637">
        <f t="shared" si="3"/>
        <v>10</v>
      </c>
      <c r="C17" s="672" t="s">
        <v>278</v>
      </c>
      <c r="D17" s="516">
        <v>602.1</v>
      </c>
      <c r="E17" s="517">
        <v>752.63</v>
      </c>
      <c r="F17" s="517">
        <v>767.68</v>
      </c>
      <c r="G17" s="518">
        <v>865.52</v>
      </c>
      <c r="H17" s="518">
        <v>1038.6199999999999</v>
      </c>
      <c r="I17" s="519">
        <v>1354.61</v>
      </c>
      <c r="J17" s="520">
        <v>1557.93</v>
      </c>
      <c r="K17" s="521">
        <v>2167.37</v>
      </c>
      <c r="L17" s="522">
        <v>2531.64</v>
      </c>
      <c r="M17" s="523">
        <v>3251.05</v>
      </c>
      <c r="N17" s="522">
        <v>3924.05</v>
      </c>
      <c r="O17" s="524">
        <v>4551.47</v>
      </c>
      <c r="P17" s="525">
        <v>6317.7</v>
      </c>
      <c r="Q17" s="525">
        <v>6317.7</v>
      </c>
      <c r="R17" s="525">
        <v>2</v>
      </c>
      <c r="S17" s="525">
        <v>3</v>
      </c>
      <c r="T17" s="525">
        <v>4</v>
      </c>
      <c r="U17" s="525">
        <v>5</v>
      </c>
      <c r="V17" s="525">
        <v>6</v>
      </c>
      <c r="W17" s="525">
        <v>7</v>
      </c>
      <c r="X17" s="525">
        <v>8</v>
      </c>
      <c r="Y17" s="525">
        <v>9</v>
      </c>
      <c r="Z17" s="525">
        <v>10</v>
      </c>
      <c r="AA17" s="525">
        <v>11</v>
      </c>
      <c r="AB17" s="526">
        <f t="shared" si="4"/>
        <v>0</v>
      </c>
      <c r="AC17" s="527">
        <f t="shared" si="5"/>
        <v>0</v>
      </c>
      <c r="AD17" s="527">
        <f t="shared" si="6"/>
        <v>0</v>
      </c>
      <c r="AE17" s="528">
        <f t="shared" si="2"/>
        <v>0</v>
      </c>
      <c r="AF17" s="528">
        <f t="shared" si="7"/>
        <v>0</v>
      </c>
      <c r="AG17" s="528">
        <f t="shared" si="8"/>
        <v>0</v>
      </c>
      <c r="AH17" s="529">
        <f t="shared" si="9"/>
        <v>0</v>
      </c>
      <c r="AI17" s="530">
        <f t="shared" si="10"/>
        <v>0</v>
      </c>
      <c r="AJ17" s="530">
        <f t="shared" si="11"/>
        <v>0</v>
      </c>
      <c r="AK17" s="530">
        <f t="shared" si="12"/>
        <v>0</v>
      </c>
      <c r="AL17" s="530">
        <f t="shared" si="13"/>
        <v>0</v>
      </c>
      <c r="AM17" s="530">
        <f t="shared" si="14"/>
        <v>0</v>
      </c>
      <c r="AN17" s="531">
        <f t="shared" si="15"/>
        <v>0</v>
      </c>
      <c r="AO17" s="531">
        <f t="shared" si="16"/>
        <v>6317.7</v>
      </c>
      <c r="AP17" s="531">
        <f t="shared" si="17"/>
        <v>0</v>
      </c>
      <c r="AQ17" s="531">
        <f t="shared" si="18"/>
        <v>0</v>
      </c>
      <c r="AR17" s="531">
        <f t="shared" si="19"/>
        <v>0</v>
      </c>
      <c r="AS17" s="531">
        <f t="shared" si="20"/>
        <v>0</v>
      </c>
      <c r="AT17" s="531">
        <f t="shared" si="21"/>
        <v>0</v>
      </c>
      <c r="AU17" s="531">
        <f t="shared" si="22"/>
        <v>0</v>
      </c>
      <c r="AV17" s="531">
        <f t="shared" si="23"/>
        <v>0</v>
      </c>
      <c r="AW17" s="531">
        <f t="shared" si="24"/>
        <v>0</v>
      </c>
      <c r="AX17" s="531">
        <f t="shared" si="25"/>
        <v>0</v>
      </c>
      <c r="AY17" s="531">
        <f t="shared" si="26"/>
        <v>0</v>
      </c>
      <c r="AZ17" s="510">
        <f t="shared" si="27"/>
        <v>6317.7</v>
      </c>
      <c r="BA17" s="643"/>
    </row>
    <row r="18" spans="1:53" x14ac:dyDescent="0.2">
      <c r="A18" s="480">
        <v>18</v>
      </c>
      <c r="B18" s="637">
        <f t="shared" si="3"/>
        <v>11</v>
      </c>
      <c r="C18" s="672" t="s">
        <v>279</v>
      </c>
      <c r="D18" s="516">
        <v>610.14</v>
      </c>
      <c r="E18" s="517">
        <v>762.68</v>
      </c>
      <c r="F18" s="517">
        <v>777.93</v>
      </c>
      <c r="G18" s="518">
        <v>877.08</v>
      </c>
      <c r="H18" s="518">
        <v>1052.49</v>
      </c>
      <c r="I18" s="519">
        <v>1354.61</v>
      </c>
      <c r="J18" s="520">
        <v>1578.74</v>
      </c>
      <c r="K18" s="521">
        <v>2167.37</v>
      </c>
      <c r="L18" s="522">
        <v>2565.4499999999998</v>
      </c>
      <c r="M18" s="523">
        <v>3251.05</v>
      </c>
      <c r="N18" s="522">
        <v>3976.44</v>
      </c>
      <c r="O18" s="524">
        <v>4551.47</v>
      </c>
      <c r="P18" s="525">
        <v>6402.07</v>
      </c>
      <c r="Q18" s="525">
        <v>6402.07</v>
      </c>
      <c r="R18" s="525">
        <v>2</v>
      </c>
      <c r="S18" s="525">
        <v>3</v>
      </c>
      <c r="T18" s="525">
        <v>4</v>
      </c>
      <c r="U18" s="525">
        <v>5</v>
      </c>
      <c r="V18" s="525">
        <v>6</v>
      </c>
      <c r="W18" s="525">
        <v>7</v>
      </c>
      <c r="X18" s="525">
        <v>8</v>
      </c>
      <c r="Y18" s="525">
        <v>9</v>
      </c>
      <c r="Z18" s="525">
        <v>10</v>
      </c>
      <c r="AA18" s="525">
        <v>11</v>
      </c>
      <c r="AB18" s="526">
        <f t="shared" si="4"/>
        <v>0</v>
      </c>
      <c r="AC18" s="527">
        <f t="shared" si="5"/>
        <v>0</v>
      </c>
      <c r="AD18" s="527">
        <f t="shared" si="6"/>
        <v>0</v>
      </c>
      <c r="AE18" s="528">
        <f t="shared" si="2"/>
        <v>0</v>
      </c>
      <c r="AF18" s="528">
        <f t="shared" si="7"/>
        <v>0</v>
      </c>
      <c r="AG18" s="528">
        <f t="shared" si="8"/>
        <v>0</v>
      </c>
      <c r="AH18" s="529">
        <f t="shared" si="9"/>
        <v>0</v>
      </c>
      <c r="AI18" s="530">
        <f t="shared" si="10"/>
        <v>0</v>
      </c>
      <c r="AJ18" s="530">
        <f t="shared" si="11"/>
        <v>0</v>
      </c>
      <c r="AK18" s="530">
        <f t="shared" si="12"/>
        <v>0</v>
      </c>
      <c r="AL18" s="530">
        <f t="shared" si="13"/>
        <v>0</v>
      </c>
      <c r="AM18" s="530">
        <f t="shared" si="14"/>
        <v>0</v>
      </c>
      <c r="AN18" s="531">
        <f t="shared" si="15"/>
        <v>0</v>
      </c>
      <c r="AO18" s="531">
        <f t="shared" si="16"/>
        <v>6402.07</v>
      </c>
      <c r="AP18" s="531">
        <f t="shared" si="17"/>
        <v>0</v>
      </c>
      <c r="AQ18" s="531">
        <f t="shared" si="18"/>
        <v>0</v>
      </c>
      <c r="AR18" s="531">
        <f t="shared" si="19"/>
        <v>0</v>
      </c>
      <c r="AS18" s="531">
        <f t="shared" si="20"/>
        <v>0</v>
      </c>
      <c r="AT18" s="531">
        <f t="shared" si="21"/>
        <v>0</v>
      </c>
      <c r="AU18" s="531">
        <f t="shared" si="22"/>
        <v>0</v>
      </c>
      <c r="AV18" s="531">
        <f t="shared" si="23"/>
        <v>0</v>
      </c>
      <c r="AW18" s="531">
        <f t="shared" si="24"/>
        <v>0</v>
      </c>
      <c r="AX18" s="531">
        <f t="shared" si="25"/>
        <v>0</v>
      </c>
      <c r="AY18" s="531">
        <f t="shared" si="26"/>
        <v>0</v>
      </c>
      <c r="AZ18" s="510">
        <f t="shared" si="27"/>
        <v>6402.07</v>
      </c>
      <c r="BA18" s="643"/>
    </row>
    <row r="19" spans="1:53" x14ac:dyDescent="0.2">
      <c r="A19" s="480">
        <v>19</v>
      </c>
      <c r="B19" s="637">
        <f t="shared" si="3"/>
        <v>12</v>
      </c>
      <c r="C19" s="672" t="s">
        <v>280</v>
      </c>
      <c r="D19" s="516">
        <v>755.02</v>
      </c>
      <c r="E19" s="517">
        <v>943.78</v>
      </c>
      <c r="F19" s="517">
        <v>962.66</v>
      </c>
      <c r="G19" s="518">
        <v>1085.3499999999999</v>
      </c>
      <c r="H19" s="518">
        <v>1302.4100000000001</v>
      </c>
      <c r="I19" s="519">
        <v>1354.61</v>
      </c>
      <c r="J19" s="520">
        <v>1953.61</v>
      </c>
      <c r="K19" s="521">
        <v>2442.02</v>
      </c>
      <c r="L19" s="522">
        <v>3174.62</v>
      </c>
      <c r="M19" s="523">
        <v>3251.05</v>
      </c>
      <c r="N19" s="522">
        <v>4920.67</v>
      </c>
      <c r="O19" s="524">
        <v>4920.67</v>
      </c>
      <c r="P19" s="525">
        <v>7922.28</v>
      </c>
      <c r="Q19" s="525">
        <v>7922.28</v>
      </c>
      <c r="R19" s="525">
        <v>2</v>
      </c>
      <c r="S19" s="525">
        <v>3</v>
      </c>
      <c r="T19" s="525">
        <v>4</v>
      </c>
      <c r="U19" s="525">
        <v>5</v>
      </c>
      <c r="V19" s="525">
        <v>6</v>
      </c>
      <c r="W19" s="525">
        <v>7</v>
      </c>
      <c r="X19" s="525">
        <v>8</v>
      </c>
      <c r="Y19" s="525">
        <v>9</v>
      </c>
      <c r="Z19" s="525">
        <v>10</v>
      </c>
      <c r="AA19" s="525">
        <v>11</v>
      </c>
      <c r="AB19" s="526">
        <f t="shared" si="4"/>
        <v>0</v>
      </c>
      <c r="AC19" s="527">
        <f t="shared" si="5"/>
        <v>0</v>
      </c>
      <c r="AD19" s="527">
        <f t="shared" si="6"/>
        <v>0</v>
      </c>
      <c r="AE19" s="528">
        <f t="shared" si="2"/>
        <v>0</v>
      </c>
      <c r="AF19" s="528">
        <f t="shared" si="7"/>
        <v>0</v>
      </c>
      <c r="AG19" s="528">
        <f t="shared" si="8"/>
        <v>0</v>
      </c>
      <c r="AH19" s="529">
        <f t="shared" si="9"/>
        <v>0</v>
      </c>
      <c r="AI19" s="530">
        <f t="shared" si="10"/>
        <v>0</v>
      </c>
      <c r="AJ19" s="530">
        <f t="shared" si="11"/>
        <v>0</v>
      </c>
      <c r="AK19" s="530">
        <f t="shared" si="12"/>
        <v>0</v>
      </c>
      <c r="AL19" s="530">
        <f t="shared" si="13"/>
        <v>0</v>
      </c>
      <c r="AM19" s="530">
        <f t="shared" si="14"/>
        <v>0</v>
      </c>
      <c r="AN19" s="531">
        <f t="shared" si="15"/>
        <v>0</v>
      </c>
      <c r="AO19" s="531">
        <f t="shared" si="16"/>
        <v>7922.28</v>
      </c>
      <c r="AP19" s="531">
        <f t="shared" si="17"/>
        <v>0</v>
      </c>
      <c r="AQ19" s="531">
        <f t="shared" si="18"/>
        <v>0</v>
      </c>
      <c r="AR19" s="531">
        <f t="shared" si="19"/>
        <v>0</v>
      </c>
      <c r="AS19" s="531">
        <f t="shared" si="20"/>
        <v>0</v>
      </c>
      <c r="AT19" s="531">
        <f t="shared" si="21"/>
        <v>0</v>
      </c>
      <c r="AU19" s="531">
        <f t="shared" si="22"/>
        <v>0</v>
      </c>
      <c r="AV19" s="531">
        <f t="shared" si="23"/>
        <v>0</v>
      </c>
      <c r="AW19" s="531">
        <f t="shared" si="24"/>
        <v>0</v>
      </c>
      <c r="AX19" s="531">
        <f t="shared" si="25"/>
        <v>0</v>
      </c>
      <c r="AY19" s="531">
        <f t="shared" si="26"/>
        <v>0</v>
      </c>
      <c r="AZ19" s="510">
        <f t="shared" si="27"/>
        <v>7922.28</v>
      </c>
      <c r="BA19" s="643"/>
    </row>
    <row r="20" spans="1:53" x14ac:dyDescent="0.2">
      <c r="A20" s="480">
        <v>20</v>
      </c>
      <c r="B20" s="637">
        <f t="shared" si="3"/>
        <v>13</v>
      </c>
      <c r="C20" s="672" t="s">
        <v>281</v>
      </c>
      <c r="D20" s="516">
        <v>675.06</v>
      </c>
      <c r="E20" s="517">
        <v>843.83</v>
      </c>
      <c r="F20" s="517">
        <v>860.71</v>
      </c>
      <c r="G20" s="518">
        <v>970.4</v>
      </c>
      <c r="H20" s="518">
        <v>1164.48</v>
      </c>
      <c r="I20" s="519">
        <v>1354.61</v>
      </c>
      <c r="J20" s="520">
        <v>1746.72</v>
      </c>
      <c r="K20" s="521">
        <v>2183.4</v>
      </c>
      <c r="L20" s="522">
        <v>2838.42</v>
      </c>
      <c r="M20" s="523">
        <v>3251.05</v>
      </c>
      <c r="N20" s="522">
        <v>4399.55</v>
      </c>
      <c r="O20" s="524">
        <v>4551.47</v>
      </c>
      <c r="P20" s="525">
        <v>7083.28</v>
      </c>
      <c r="Q20" s="525">
        <v>7083.28</v>
      </c>
      <c r="R20" s="525">
        <v>2</v>
      </c>
      <c r="S20" s="525">
        <v>3</v>
      </c>
      <c r="T20" s="525">
        <v>4</v>
      </c>
      <c r="U20" s="525">
        <v>5</v>
      </c>
      <c r="V20" s="525">
        <v>6</v>
      </c>
      <c r="W20" s="525">
        <v>7</v>
      </c>
      <c r="X20" s="525">
        <v>8</v>
      </c>
      <c r="Y20" s="525">
        <v>9</v>
      </c>
      <c r="Z20" s="525">
        <v>10</v>
      </c>
      <c r="AA20" s="525">
        <v>11</v>
      </c>
      <c r="AB20" s="526">
        <f t="shared" si="4"/>
        <v>0</v>
      </c>
      <c r="AC20" s="527">
        <f t="shared" si="5"/>
        <v>0</v>
      </c>
      <c r="AD20" s="527">
        <f t="shared" si="6"/>
        <v>0</v>
      </c>
      <c r="AE20" s="528">
        <f t="shared" si="2"/>
        <v>0</v>
      </c>
      <c r="AF20" s="528">
        <f t="shared" si="7"/>
        <v>0</v>
      </c>
      <c r="AG20" s="528">
        <f t="shared" si="8"/>
        <v>0</v>
      </c>
      <c r="AH20" s="529">
        <f t="shared" si="9"/>
        <v>0</v>
      </c>
      <c r="AI20" s="530">
        <f t="shared" si="10"/>
        <v>0</v>
      </c>
      <c r="AJ20" s="530">
        <f t="shared" si="11"/>
        <v>0</v>
      </c>
      <c r="AK20" s="530">
        <f t="shared" si="12"/>
        <v>0</v>
      </c>
      <c r="AL20" s="530">
        <f t="shared" si="13"/>
        <v>0</v>
      </c>
      <c r="AM20" s="530">
        <f t="shared" si="14"/>
        <v>0</v>
      </c>
      <c r="AN20" s="531">
        <f t="shared" si="15"/>
        <v>0</v>
      </c>
      <c r="AO20" s="531">
        <f t="shared" si="16"/>
        <v>7083.28</v>
      </c>
      <c r="AP20" s="531">
        <f t="shared" si="17"/>
        <v>0</v>
      </c>
      <c r="AQ20" s="531">
        <f t="shared" si="18"/>
        <v>0</v>
      </c>
      <c r="AR20" s="531">
        <f t="shared" si="19"/>
        <v>0</v>
      </c>
      <c r="AS20" s="531">
        <f t="shared" si="20"/>
        <v>0</v>
      </c>
      <c r="AT20" s="531">
        <f t="shared" si="21"/>
        <v>0</v>
      </c>
      <c r="AU20" s="531">
        <f t="shared" si="22"/>
        <v>0</v>
      </c>
      <c r="AV20" s="531">
        <f t="shared" si="23"/>
        <v>0</v>
      </c>
      <c r="AW20" s="531">
        <f t="shared" si="24"/>
        <v>0</v>
      </c>
      <c r="AX20" s="531">
        <f t="shared" si="25"/>
        <v>0</v>
      </c>
      <c r="AY20" s="531">
        <f t="shared" si="26"/>
        <v>0</v>
      </c>
      <c r="AZ20" s="510">
        <f t="shared" si="27"/>
        <v>7083.28</v>
      </c>
      <c r="BA20" s="643"/>
    </row>
    <row r="21" spans="1:53" x14ac:dyDescent="0.2">
      <c r="A21" s="480">
        <v>21</v>
      </c>
      <c r="B21" s="637">
        <f t="shared" si="3"/>
        <v>14</v>
      </c>
      <c r="C21" s="672" t="s">
        <v>282</v>
      </c>
      <c r="D21" s="516">
        <v>675.06</v>
      </c>
      <c r="E21" s="517">
        <v>843.83</v>
      </c>
      <c r="F21" s="517">
        <v>860.71</v>
      </c>
      <c r="G21" s="518">
        <v>970.4</v>
      </c>
      <c r="H21" s="518">
        <v>1164.48</v>
      </c>
      <c r="I21" s="519">
        <v>1354.61</v>
      </c>
      <c r="J21" s="520">
        <v>1746.72</v>
      </c>
      <c r="K21" s="521">
        <v>2183.4</v>
      </c>
      <c r="L21" s="522">
        <v>2838.42</v>
      </c>
      <c r="M21" s="523">
        <v>3251.05</v>
      </c>
      <c r="N21" s="522">
        <v>4399.55</v>
      </c>
      <c r="O21" s="524">
        <v>4551.47</v>
      </c>
      <c r="P21" s="525">
        <v>7083.28</v>
      </c>
      <c r="Q21" s="525">
        <v>7083.28</v>
      </c>
      <c r="R21" s="525">
        <v>2</v>
      </c>
      <c r="S21" s="525">
        <v>3</v>
      </c>
      <c r="T21" s="525">
        <v>4</v>
      </c>
      <c r="U21" s="525">
        <v>5</v>
      </c>
      <c r="V21" s="525">
        <v>6</v>
      </c>
      <c r="W21" s="525">
        <v>7</v>
      </c>
      <c r="X21" s="525">
        <v>8</v>
      </c>
      <c r="Y21" s="525">
        <v>9</v>
      </c>
      <c r="Z21" s="525">
        <v>10</v>
      </c>
      <c r="AA21" s="525">
        <v>11</v>
      </c>
      <c r="AB21" s="526">
        <f t="shared" si="4"/>
        <v>0</v>
      </c>
      <c r="AC21" s="527">
        <f t="shared" si="5"/>
        <v>0</v>
      </c>
      <c r="AD21" s="527">
        <f t="shared" si="6"/>
        <v>0</v>
      </c>
      <c r="AE21" s="528">
        <f t="shared" si="2"/>
        <v>0</v>
      </c>
      <c r="AF21" s="528">
        <f t="shared" si="7"/>
        <v>0</v>
      </c>
      <c r="AG21" s="528">
        <f t="shared" si="8"/>
        <v>0</v>
      </c>
      <c r="AH21" s="529">
        <f t="shared" si="9"/>
        <v>0</v>
      </c>
      <c r="AI21" s="530">
        <f t="shared" si="10"/>
        <v>0</v>
      </c>
      <c r="AJ21" s="530">
        <f t="shared" si="11"/>
        <v>0</v>
      </c>
      <c r="AK21" s="530">
        <f t="shared" si="12"/>
        <v>0</v>
      </c>
      <c r="AL21" s="530">
        <f t="shared" si="13"/>
        <v>0</v>
      </c>
      <c r="AM21" s="530">
        <f t="shared" si="14"/>
        <v>0</v>
      </c>
      <c r="AN21" s="531">
        <f t="shared" si="15"/>
        <v>0</v>
      </c>
      <c r="AO21" s="531">
        <f t="shared" si="16"/>
        <v>7083.28</v>
      </c>
      <c r="AP21" s="531">
        <f t="shared" si="17"/>
        <v>0</v>
      </c>
      <c r="AQ21" s="531">
        <f t="shared" si="18"/>
        <v>0</v>
      </c>
      <c r="AR21" s="531">
        <f t="shared" si="19"/>
        <v>0</v>
      </c>
      <c r="AS21" s="531">
        <f t="shared" si="20"/>
        <v>0</v>
      </c>
      <c r="AT21" s="531">
        <f t="shared" si="21"/>
        <v>0</v>
      </c>
      <c r="AU21" s="531">
        <f t="shared" si="22"/>
        <v>0</v>
      </c>
      <c r="AV21" s="531">
        <f t="shared" si="23"/>
        <v>0</v>
      </c>
      <c r="AW21" s="531">
        <f t="shared" si="24"/>
        <v>0</v>
      </c>
      <c r="AX21" s="531">
        <f t="shared" si="25"/>
        <v>0</v>
      </c>
      <c r="AY21" s="531">
        <f t="shared" si="26"/>
        <v>0</v>
      </c>
      <c r="AZ21" s="510">
        <f t="shared" si="27"/>
        <v>7083.28</v>
      </c>
      <c r="BA21" s="643"/>
    </row>
    <row r="22" spans="1:53" x14ac:dyDescent="0.2">
      <c r="A22" s="480">
        <v>22</v>
      </c>
      <c r="B22" s="637">
        <f t="shared" si="3"/>
        <v>15</v>
      </c>
      <c r="C22" s="672" t="s">
        <v>283</v>
      </c>
      <c r="D22" s="516">
        <v>835.58</v>
      </c>
      <c r="E22" s="517">
        <v>1044.48</v>
      </c>
      <c r="F22" s="517">
        <v>1065.3699999999999</v>
      </c>
      <c r="G22" s="518">
        <v>1201.1500000000001</v>
      </c>
      <c r="H22" s="518">
        <v>1441.38</v>
      </c>
      <c r="I22" s="532">
        <v>1441.38</v>
      </c>
      <c r="J22" s="520">
        <v>2162.06</v>
      </c>
      <c r="K22" s="521">
        <v>2702.58</v>
      </c>
      <c r="L22" s="522">
        <v>3513.35</v>
      </c>
      <c r="M22" s="523">
        <v>3513.35</v>
      </c>
      <c r="N22" s="522">
        <v>5445.7</v>
      </c>
      <c r="O22" s="524">
        <v>5445.7</v>
      </c>
      <c r="P22" s="525">
        <v>8767.6</v>
      </c>
      <c r="Q22" s="525">
        <v>8767.6</v>
      </c>
      <c r="R22" s="525">
        <v>2</v>
      </c>
      <c r="S22" s="525">
        <v>3</v>
      </c>
      <c r="T22" s="525">
        <v>4</v>
      </c>
      <c r="U22" s="525">
        <v>5</v>
      </c>
      <c r="V22" s="525">
        <v>6</v>
      </c>
      <c r="W22" s="525">
        <v>7</v>
      </c>
      <c r="X22" s="525">
        <v>8</v>
      </c>
      <c r="Y22" s="525">
        <v>9</v>
      </c>
      <c r="Z22" s="525">
        <v>10</v>
      </c>
      <c r="AA22" s="525">
        <v>11</v>
      </c>
      <c r="AB22" s="526">
        <f t="shared" si="4"/>
        <v>0</v>
      </c>
      <c r="AC22" s="527">
        <f t="shared" si="5"/>
        <v>0</v>
      </c>
      <c r="AD22" s="527">
        <f t="shared" si="6"/>
        <v>0</v>
      </c>
      <c r="AE22" s="528">
        <f t="shared" si="2"/>
        <v>0</v>
      </c>
      <c r="AF22" s="528">
        <f t="shared" si="7"/>
        <v>0</v>
      </c>
      <c r="AG22" s="528">
        <f t="shared" si="8"/>
        <v>0</v>
      </c>
      <c r="AH22" s="529">
        <f t="shared" si="9"/>
        <v>0</v>
      </c>
      <c r="AI22" s="530">
        <f t="shared" si="10"/>
        <v>0</v>
      </c>
      <c r="AJ22" s="530">
        <f t="shared" si="11"/>
        <v>0</v>
      </c>
      <c r="AK22" s="530">
        <f t="shared" si="12"/>
        <v>0</v>
      </c>
      <c r="AL22" s="530">
        <f t="shared" si="13"/>
        <v>0</v>
      </c>
      <c r="AM22" s="530">
        <f t="shared" si="14"/>
        <v>0</v>
      </c>
      <c r="AN22" s="531">
        <f t="shared" si="15"/>
        <v>0</v>
      </c>
      <c r="AO22" s="531">
        <f t="shared" si="16"/>
        <v>8767.6</v>
      </c>
      <c r="AP22" s="531">
        <f t="shared" si="17"/>
        <v>0</v>
      </c>
      <c r="AQ22" s="531">
        <f t="shared" si="18"/>
        <v>0</v>
      </c>
      <c r="AR22" s="531">
        <f t="shared" si="19"/>
        <v>0</v>
      </c>
      <c r="AS22" s="531">
        <f t="shared" si="20"/>
        <v>0</v>
      </c>
      <c r="AT22" s="531">
        <f t="shared" si="21"/>
        <v>0</v>
      </c>
      <c r="AU22" s="531">
        <f t="shared" si="22"/>
        <v>0</v>
      </c>
      <c r="AV22" s="531">
        <f t="shared" si="23"/>
        <v>0</v>
      </c>
      <c r="AW22" s="531">
        <f t="shared" si="24"/>
        <v>0</v>
      </c>
      <c r="AX22" s="531">
        <f t="shared" si="25"/>
        <v>0</v>
      </c>
      <c r="AY22" s="531">
        <f t="shared" si="26"/>
        <v>0</v>
      </c>
      <c r="AZ22" s="510">
        <f t="shared" si="27"/>
        <v>8767.6</v>
      </c>
      <c r="BA22" s="643"/>
    </row>
    <row r="23" spans="1:53" x14ac:dyDescent="0.2">
      <c r="A23" s="480">
        <v>23</v>
      </c>
      <c r="B23" s="637">
        <f t="shared" si="3"/>
        <v>16</v>
      </c>
      <c r="C23" s="672" t="s">
        <v>284</v>
      </c>
      <c r="D23" s="516">
        <v>755.02</v>
      </c>
      <c r="E23" s="517">
        <v>943.78</v>
      </c>
      <c r="F23" s="517">
        <v>962.66</v>
      </c>
      <c r="G23" s="518">
        <v>1085.3499999999999</v>
      </c>
      <c r="H23" s="518">
        <v>1302.4100000000001</v>
      </c>
      <c r="I23" s="519">
        <v>1354.61</v>
      </c>
      <c r="J23" s="520">
        <v>1953.61</v>
      </c>
      <c r="K23" s="521">
        <v>2442.02</v>
      </c>
      <c r="L23" s="522">
        <v>3174.62</v>
      </c>
      <c r="M23" s="523">
        <v>3251.05</v>
      </c>
      <c r="N23" s="522">
        <v>4920.67</v>
      </c>
      <c r="O23" s="524">
        <v>4920.67</v>
      </c>
      <c r="P23" s="525">
        <v>7922.28</v>
      </c>
      <c r="Q23" s="525">
        <v>7922.28</v>
      </c>
      <c r="R23" s="525">
        <v>2</v>
      </c>
      <c r="S23" s="525">
        <v>3</v>
      </c>
      <c r="T23" s="525">
        <v>4</v>
      </c>
      <c r="U23" s="525">
        <v>5</v>
      </c>
      <c r="V23" s="525">
        <v>6</v>
      </c>
      <c r="W23" s="525">
        <v>7</v>
      </c>
      <c r="X23" s="525">
        <v>8</v>
      </c>
      <c r="Y23" s="525">
        <v>9</v>
      </c>
      <c r="Z23" s="525">
        <v>10</v>
      </c>
      <c r="AA23" s="525">
        <v>11</v>
      </c>
      <c r="AB23" s="526">
        <f t="shared" si="4"/>
        <v>0</v>
      </c>
      <c r="AC23" s="527">
        <f t="shared" si="5"/>
        <v>0</v>
      </c>
      <c r="AD23" s="527">
        <f t="shared" si="6"/>
        <v>0</v>
      </c>
      <c r="AE23" s="528">
        <f t="shared" si="2"/>
        <v>0</v>
      </c>
      <c r="AF23" s="528">
        <f t="shared" si="7"/>
        <v>0</v>
      </c>
      <c r="AG23" s="528">
        <f t="shared" si="8"/>
        <v>0</v>
      </c>
      <c r="AH23" s="529">
        <f t="shared" si="9"/>
        <v>0</v>
      </c>
      <c r="AI23" s="530">
        <f t="shared" si="10"/>
        <v>0</v>
      </c>
      <c r="AJ23" s="530">
        <f t="shared" si="11"/>
        <v>0</v>
      </c>
      <c r="AK23" s="530">
        <f t="shared" si="12"/>
        <v>0</v>
      </c>
      <c r="AL23" s="530">
        <f t="shared" si="13"/>
        <v>0</v>
      </c>
      <c r="AM23" s="530">
        <f t="shared" si="14"/>
        <v>0</v>
      </c>
      <c r="AN23" s="531">
        <f t="shared" si="15"/>
        <v>0</v>
      </c>
      <c r="AO23" s="531">
        <f t="shared" si="16"/>
        <v>7922.28</v>
      </c>
      <c r="AP23" s="531">
        <f t="shared" si="17"/>
        <v>0</v>
      </c>
      <c r="AQ23" s="531">
        <f t="shared" si="18"/>
        <v>0</v>
      </c>
      <c r="AR23" s="531">
        <f t="shared" si="19"/>
        <v>0</v>
      </c>
      <c r="AS23" s="531">
        <f t="shared" si="20"/>
        <v>0</v>
      </c>
      <c r="AT23" s="531">
        <f t="shared" si="21"/>
        <v>0</v>
      </c>
      <c r="AU23" s="531">
        <f t="shared" si="22"/>
        <v>0</v>
      </c>
      <c r="AV23" s="531">
        <f t="shared" si="23"/>
        <v>0</v>
      </c>
      <c r="AW23" s="531">
        <f t="shared" si="24"/>
        <v>0</v>
      </c>
      <c r="AX23" s="531">
        <f t="shared" si="25"/>
        <v>0</v>
      </c>
      <c r="AY23" s="531">
        <f t="shared" si="26"/>
        <v>0</v>
      </c>
      <c r="AZ23" s="510">
        <f t="shared" si="27"/>
        <v>7922.28</v>
      </c>
      <c r="BA23" s="643"/>
    </row>
    <row r="24" spans="1:53" x14ac:dyDescent="0.2">
      <c r="A24" s="480">
        <v>24</v>
      </c>
      <c r="B24" s="637">
        <f t="shared" si="3"/>
        <v>17</v>
      </c>
      <c r="C24" s="672" t="s">
        <v>285</v>
      </c>
      <c r="D24" s="516">
        <v>675.06</v>
      </c>
      <c r="E24" s="517">
        <v>843.83</v>
      </c>
      <c r="F24" s="517">
        <v>860.71</v>
      </c>
      <c r="G24" s="518">
        <v>970.4</v>
      </c>
      <c r="H24" s="518">
        <v>1164.48</v>
      </c>
      <c r="I24" s="519">
        <v>1354.61</v>
      </c>
      <c r="J24" s="520">
        <v>1746.72</v>
      </c>
      <c r="K24" s="521">
        <v>2183.4</v>
      </c>
      <c r="L24" s="522">
        <v>2838.42</v>
      </c>
      <c r="M24" s="523">
        <v>3251.05</v>
      </c>
      <c r="N24" s="522">
        <v>4399.55</v>
      </c>
      <c r="O24" s="524">
        <v>4551.47</v>
      </c>
      <c r="P24" s="525">
        <v>7083.28</v>
      </c>
      <c r="Q24" s="525">
        <v>7083.28</v>
      </c>
      <c r="R24" s="525">
        <v>2</v>
      </c>
      <c r="S24" s="525">
        <v>3</v>
      </c>
      <c r="T24" s="525">
        <v>4</v>
      </c>
      <c r="U24" s="525">
        <v>5</v>
      </c>
      <c r="V24" s="525">
        <v>6</v>
      </c>
      <c r="W24" s="525">
        <v>7</v>
      </c>
      <c r="X24" s="525">
        <v>8</v>
      </c>
      <c r="Y24" s="525">
        <v>9</v>
      </c>
      <c r="Z24" s="525">
        <v>10</v>
      </c>
      <c r="AA24" s="525">
        <v>11</v>
      </c>
      <c r="AB24" s="526">
        <f t="shared" si="4"/>
        <v>0</v>
      </c>
      <c r="AC24" s="527">
        <f t="shared" si="5"/>
        <v>0</v>
      </c>
      <c r="AD24" s="527">
        <f t="shared" si="6"/>
        <v>0</v>
      </c>
      <c r="AE24" s="528">
        <f t="shared" si="2"/>
        <v>0</v>
      </c>
      <c r="AF24" s="528">
        <f t="shared" si="7"/>
        <v>0</v>
      </c>
      <c r="AG24" s="528">
        <f t="shared" si="8"/>
        <v>0</v>
      </c>
      <c r="AH24" s="529">
        <f t="shared" si="9"/>
        <v>0</v>
      </c>
      <c r="AI24" s="530">
        <f t="shared" si="10"/>
        <v>0</v>
      </c>
      <c r="AJ24" s="530">
        <f t="shared" si="11"/>
        <v>0</v>
      </c>
      <c r="AK24" s="530">
        <f t="shared" si="12"/>
        <v>0</v>
      </c>
      <c r="AL24" s="530">
        <f t="shared" si="13"/>
        <v>0</v>
      </c>
      <c r="AM24" s="530">
        <f t="shared" si="14"/>
        <v>0</v>
      </c>
      <c r="AN24" s="531">
        <f t="shared" si="15"/>
        <v>0</v>
      </c>
      <c r="AO24" s="531">
        <f t="shared" si="16"/>
        <v>7083.28</v>
      </c>
      <c r="AP24" s="531">
        <f t="shared" si="17"/>
        <v>0</v>
      </c>
      <c r="AQ24" s="531">
        <f t="shared" si="18"/>
        <v>0</v>
      </c>
      <c r="AR24" s="531">
        <f t="shared" si="19"/>
        <v>0</v>
      </c>
      <c r="AS24" s="531">
        <f t="shared" si="20"/>
        <v>0</v>
      </c>
      <c r="AT24" s="531">
        <f t="shared" si="21"/>
        <v>0</v>
      </c>
      <c r="AU24" s="531">
        <f t="shared" si="22"/>
        <v>0</v>
      </c>
      <c r="AV24" s="531">
        <f t="shared" si="23"/>
        <v>0</v>
      </c>
      <c r="AW24" s="531">
        <f t="shared" si="24"/>
        <v>0</v>
      </c>
      <c r="AX24" s="531">
        <f t="shared" si="25"/>
        <v>0</v>
      </c>
      <c r="AY24" s="531">
        <f t="shared" si="26"/>
        <v>0</v>
      </c>
      <c r="AZ24" s="510">
        <f t="shared" si="27"/>
        <v>7083.28</v>
      </c>
      <c r="BA24" s="643"/>
    </row>
    <row r="25" spans="1:53" x14ac:dyDescent="0.2">
      <c r="A25" s="480">
        <v>25</v>
      </c>
      <c r="B25" s="637">
        <f t="shared" si="3"/>
        <v>18</v>
      </c>
      <c r="C25" s="672" t="s">
        <v>286</v>
      </c>
      <c r="D25" s="516">
        <v>666.56</v>
      </c>
      <c r="E25" s="517">
        <v>833.2</v>
      </c>
      <c r="F25" s="517">
        <v>849.86</v>
      </c>
      <c r="G25" s="518">
        <v>958.18</v>
      </c>
      <c r="H25" s="518">
        <v>1149.82</v>
      </c>
      <c r="I25" s="519">
        <v>1354.61</v>
      </c>
      <c r="J25" s="520">
        <v>1724.72</v>
      </c>
      <c r="K25" s="521">
        <v>2167.37</v>
      </c>
      <c r="L25" s="522">
        <v>2802.68</v>
      </c>
      <c r="M25" s="523">
        <v>3251.05</v>
      </c>
      <c r="N25" s="522">
        <v>4344.1499999999996</v>
      </c>
      <c r="O25" s="524">
        <v>4551.47</v>
      </c>
      <c r="P25" s="525">
        <v>6994.1</v>
      </c>
      <c r="Q25" s="525">
        <v>6994.1</v>
      </c>
      <c r="R25" s="525">
        <v>2</v>
      </c>
      <c r="S25" s="525">
        <v>3</v>
      </c>
      <c r="T25" s="525">
        <v>4</v>
      </c>
      <c r="U25" s="525">
        <v>5</v>
      </c>
      <c r="V25" s="525">
        <v>6</v>
      </c>
      <c r="W25" s="525">
        <v>7</v>
      </c>
      <c r="X25" s="525">
        <v>8</v>
      </c>
      <c r="Y25" s="525">
        <v>9</v>
      </c>
      <c r="Z25" s="525">
        <v>10</v>
      </c>
      <c r="AA25" s="525">
        <v>11</v>
      </c>
      <c r="AB25" s="526">
        <f t="shared" si="4"/>
        <v>0</v>
      </c>
      <c r="AC25" s="527">
        <f t="shared" si="5"/>
        <v>0</v>
      </c>
      <c r="AD25" s="527">
        <f t="shared" si="6"/>
        <v>0</v>
      </c>
      <c r="AE25" s="528">
        <f t="shared" si="2"/>
        <v>0</v>
      </c>
      <c r="AF25" s="528">
        <f t="shared" si="7"/>
        <v>0</v>
      </c>
      <c r="AG25" s="528">
        <f t="shared" si="8"/>
        <v>0</v>
      </c>
      <c r="AH25" s="529">
        <f t="shared" si="9"/>
        <v>0</v>
      </c>
      <c r="AI25" s="530">
        <f t="shared" si="10"/>
        <v>0</v>
      </c>
      <c r="AJ25" s="530">
        <f t="shared" si="11"/>
        <v>0</v>
      </c>
      <c r="AK25" s="530">
        <f t="shared" si="12"/>
        <v>0</v>
      </c>
      <c r="AL25" s="530">
        <f t="shared" si="13"/>
        <v>0</v>
      </c>
      <c r="AM25" s="530">
        <f t="shared" si="14"/>
        <v>0</v>
      </c>
      <c r="AN25" s="531">
        <f t="shared" si="15"/>
        <v>0</v>
      </c>
      <c r="AO25" s="531">
        <f t="shared" si="16"/>
        <v>6994.1</v>
      </c>
      <c r="AP25" s="531">
        <f t="shared" si="17"/>
        <v>0</v>
      </c>
      <c r="AQ25" s="531">
        <f t="shared" si="18"/>
        <v>0</v>
      </c>
      <c r="AR25" s="531">
        <f t="shared" si="19"/>
        <v>0</v>
      </c>
      <c r="AS25" s="531">
        <f t="shared" si="20"/>
        <v>0</v>
      </c>
      <c r="AT25" s="531">
        <f t="shared" si="21"/>
        <v>0</v>
      </c>
      <c r="AU25" s="531">
        <f t="shared" si="22"/>
        <v>0</v>
      </c>
      <c r="AV25" s="531">
        <f t="shared" si="23"/>
        <v>0</v>
      </c>
      <c r="AW25" s="531">
        <f t="shared" si="24"/>
        <v>0</v>
      </c>
      <c r="AX25" s="531">
        <f t="shared" si="25"/>
        <v>0</v>
      </c>
      <c r="AY25" s="531">
        <f t="shared" si="26"/>
        <v>0</v>
      </c>
      <c r="AZ25" s="510">
        <f t="shared" si="27"/>
        <v>6994.1</v>
      </c>
      <c r="BA25" s="643"/>
    </row>
    <row r="26" spans="1:53" x14ac:dyDescent="0.2">
      <c r="A26" s="480">
        <v>26</v>
      </c>
      <c r="B26" s="637">
        <f t="shared" si="3"/>
        <v>19</v>
      </c>
      <c r="C26" s="672" t="s">
        <v>287</v>
      </c>
      <c r="D26" s="516">
        <v>684</v>
      </c>
      <c r="E26" s="517">
        <v>855</v>
      </c>
      <c r="F26" s="517">
        <v>872.1</v>
      </c>
      <c r="G26" s="518">
        <v>983.25</v>
      </c>
      <c r="H26" s="518">
        <v>1179.9000000000001</v>
      </c>
      <c r="I26" s="519">
        <v>1354.61</v>
      </c>
      <c r="J26" s="520">
        <v>1769.85</v>
      </c>
      <c r="K26" s="521">
        <v>2212.31</v>
      </c>
      <c r="L26" s="522">
        <v>2876.01</v>
      </c>
      <c r="M26" s="523">
        <v>3251.05</v>
      </c>
      <c r="N26" s="522">
        <v>4457.8100000000004</v>
      </c>
      <c r="O26" s="524">
        <v>4551.47</v>
      </c>
      <c r="P26" s="525">
        <v>7177.07</v>
      </c>
      <c r="Q26" s="525">
        <v>7177.07</v>
      </c>
      <c r="R26" s="525">
        <v>2</v>
      </c>
      <c r="S26" s="525">
        <v>3</v>
      </c>
      <c r="T26" s="525">
        <v>4</v>
      </c>
      <c r="U26" s="525">
        <v>5</v>
      </c>
      <c r="V26" s="525">
        <v>6</v>
      </c>
      <c r="W26" s="525">
        <v>7</v>
      </c>
      <c r="X26" s="525">
        <v>8</v>
      </c>
      <c r="Y26" s="525">
        <v>9</v>
      </c>
      <c r="Z26" s="525">
        <v>10</v>
      </c>
      <c r="AA26" s="525">
        <v>11</v>
      </c>
      <c r="AB26" s="526">
        <f t="shared" si="4"/>
        <v>0</v>
      </c>
      <c r="AC26" s="527">
        <f t="shared" si="5"/>
        <v>0</v>
      </c>
      <c r="AD26" s="527">
        <f t="shared" si="6"/>
        <v>0</v>
      </c>
      <c r="AE26" s="528">
        <f t="shared" si="2"/>
        <v>0</v>
      </c>
      <c r="AF26" s="528">
        <f t="shared" si="7"/>
        <v>0</v>
      </c>
      <c r="AG26" s="528">
        <f t="shared" si="8"/>
        <v>0</v>
      </c>
      <c r="AH26" s="529">
        <f t="shared" si="9"/>
        <v>0</v>
      </c>
      <c r="AI26" s="530">
        <f t="shared" si="10"/>
        <v>0</v>
      </c>
      <c r="AJ26" s="530">
        <f t="shared" si="11"/>
        <v>0</v>
      </c>
      <c r="AK26" s="530">
        <f t="shared" si="12"/>
        <v>0</v>
      </c>
      <c r="AL26" s="530">
        <f t="shared" si="13"/>
        <v>0</v>
      </c>
      <c r="AM26" s="530">
        <f t="shared" si="14"/>
        <v>0</v>
      </c>
      <c r="AN26" s="531">
        <f t="shared" si="15"/>
        <v>0</v>
      </c>
      <c r="AO26" s="531">
        <f t="shared" si="16"/>
        <v>7177.07</v>
      </c>
      <c r="AP26" s="531">
        <f t="shared" si="17"/>
        <v>0</v>
      </c>
      <c r="AQ26" s="531">
        <f t="shared" si="18"/>
        <v>0</v>
      </c>
      <c r="AR26" s="531">
        <f t="shared" si="19"/>
        <v>0</v>
      </c>
      <c r="AS26" s="531">
        <f t="shared" si="20"/>
        <v>0</v>
      </c>
      <c r="AT26" s="531">
        <f t="shared" si="21"/>
        <v>0</v>
      </c>
      <c r="AU26" s="531">
        <f t="shared" si="22"/>
        <v>0</v>
      </c>
      <c r="AV26" s="531">
        <f t="shared" si="23"/>
        <v>0</v>
      </c>
      <c r="AW26" s="531">
        <f t="shared" si="24"/>
        <v>0</v>
      </c>
      <c r="AX26" s="531">
        <f t="shared" si="25"/>
        <v>0</v>
      </c>
      <c r="AY26" s="531">
        <f t="shared" si="26"/>
        <v>0</v>
      </c>
      <c r="AZ26" s="510">
        <f t="shared" si="27"/>
        <v>7177.07</v>
      </c>
      <c r="BA26" s="643"/>
    </row>
    <row r="27" spans="1:53" x14ac:dyDescent="0.2">
      <c r="A27" s="480">
        <v>27</v>
      </c>
      <c r="B27" s="637">
        <f t="shared" si="3"/>
        <v>20</v>
      </c>
      <c r="C27" s="672" t="s">
        <v>288</v>
      </c>
      <c r="D27" s="516">
        <v>642.32000000000005</v>
      </c>
      <c r="E27" s="517">
        <v>802.9</v>
      </c>
      <c r="F27" s="517">
        <v>818.96</v>
      </c>
      <c r="G27" s="518">
        <v>923.34</v>
      </c>
      <c r="H27" s="518">
        <v>1108</v>
      </c>
      <c r="I27" s="519">
        <v>1354.61</v>
      </c>
      <c r="J27" s="520">
        <v>1662</v>
      </c>
      <c r="K27" s="521">
        <v>2167.37</v>
      </c>
      <c r="L27" s="522">
        <v>2700.75</v>
      </c>
      <c r="M27" s="523">
        <v>3251.05</v>
      </c>
      <c r="N27" s="522">
        <v>4196.17</v>
      </c>
      <c r="O27" s="524">
        <v>4551.47</v>
      </c>
      <c r="P27" s="525">
        <v>6739.72</v>
      </c>
      <c r="Q27" s="525">
        <v>6739.72</v>
      </c>
      <c r="R27" s="525">
        <v>2</v>
      </c>
      <c r="S27" s="525">
        <v>3</v>
      </c>
      <c r="T27" s="525">
        <v>4</v>
      </c>
      <c r="U27" s="525">
        <v>5</v>
      </c>
      <c r="V27" s="525">
        <v>6</v>
      </c>
      <c r="W27" s="525">
        <v>7</v>
      </c>
      <c r="X27" s="525">
        <v>8</v>
      </c>
      <c r="Y27" s="525">
        <v>9</v>
      </c>
      <c r="Z27" s="525">
        <v>10</v>
      </c>
      <c r="AA27" s="525">
        <v>11</v>
      </c>
      <c r="AB27" s="526">
        <f t="shared" si="4"/>
        <v>0</v>
      </c>
      <c r="AC27" s="527">
        <f t="shared" si="5"/>
        <v>0</v>
      </c>
      <c r="AD27" s="527">
        <f t="shared" si="6"/>
        <v>0</v>
      </c>
      <c r="AE27" s="528">
        <f t="shared" si="2"/>
        <v>0</v>
      </c>
      <c r="AF27" s="528">
        <f t="shared" si="7"/>
        <v>0</v>
      </c>
      <c r="AG27" s="528">
        <f t="shared" si="8"/>
        <v>0</v>
      </c>
      <c r="AH27" s="529">
        <f t="shared" si="9"/>
        <v>0</v>
      </c>
      <c r="AI27" s="530">
        <f t="shared" si="10"/>
        <v>0</v>
      </c>
      <c r="AJ27" s="530">
        <f t="shared" si="11"/>
        <v>0</v>
      </c>
      <c r="AK27" s="530">
        <f t="shared" si="12"/>
        <v>0</v>
      </c>
      <c r="AL27" s="530">
        <f t="shared" si="13"/>
        <v>0</v>
      </c>
      <c r="AM27" s="530">
        <f t="shared" si="14"/>
        <v>0</v>
      </c>
      <c r="AN27" s="531">
        <f t="shared" si="15"/>
        <v>0</v>
      </c>
      <c r="AO27" s="531">
        <f t="shared" si="16"/>
        <v>6739.72</v>
      </c>
      <c r="AP27" s="531">
        <f t="shared" si="17"/>
        <v>0</v>
      </c>
      <c r="AQ27" s="531">
        <f t="shared" si="18"/>
        <v>0</v>
      </c>
      <c r="AR27" s="531">
        <f t="shared" si="19"/>
        <v>0</v>
      </c>
      <c r="AS27" s="531">
        <f t="shared" si="20"/>
        <v>0</v>
      </c>
      <c r="AT27" s="531">
        <f t="shared" si="21"/>
        <v>0</v>
      </c>
      <c r="AU27" s="531">
        <f t="shared" si="22"/>
        <v>0</v>
      </c>
      <c r="AV27" s="531">
        <f t="shared" si="23"/>
        <v>0</v>
      </c>
      <c r="AW27" s="531">
        <f t="shared" si="24"/>
        <v>0</v>
      </c>
      <c r="AX27" s="531">
        <f t="shared" si="25"/>
        <v>0</v>
      </c>
      <c r="AY27" s="531">
        <f t="shared" si="26"/>
        <v>0</v>
      </c>
      <c r="AZ27" s="510">
        <f t="shared" si="27"/>
        <v>6739.72</v>
      </c>
      <c r="BA27" s="643"/>
    </row>
    <row r="28" spans="1:53" x14ac:dyDescent="0.2">
      <c r="A28" s="480">
        <v>28</v>
      </c>
      <c r="B28" s="637">
        <f t="shared" si="3"/>
        <v>21</v>
      </c>
      <c r="C28" s="673" t="s">
        <v>289</v>
      </c>
      <c r="D28" s="516">
        <v>628.5</v>
      </c>
      <c r="E28" s="517">
        <v>785.63</v>
      </c>
      <c r="F28" s="517">
        <v>801.34</v>
      </c>
      <c r="G28" s="518">
        <v>903.47</v>
      </c>
      <c r="H28" s="518">
        <v>1084.1600000000001</v>
      </c>
      <c r="I28" s="519">
        <v>1354.61</v>
      </c>
      <c r="J28" s="520">
        <v>1626.24</v>
      </c>
      <c r="K28" s="521">
        <v>2167.37</v>
      </c>
      <c r="L28" s="522">
        <v>2642.65</v>
      </c>
      <c r="M28" s="523">
        <v>3251.05</v>
      </c>
      <c r="N28" s="522">
        <v>4096.1000000000004</v>
      </c>
      <c r="O28" s="524">
        <v>4551.47</v>
      </c>
      <c r="P28" s="525">
        <v>6594.71</v>
      </c>
      <c r="Q28" s="525">
        <v>6594.71</v>
      </c>
      <c r="R28" s="525">
        <v>2</v>
      </c>
      <c r="S28" s="525">
        <v>3</v>
      </c>
      <c r="T28" s="525">
        <v>4</v>
      </c>
      <c r="U28" s="525">
        <v>5</v>
      </c>
      <c r="V28" s="525">
        <v>6</v>
      </c>
      <c r="W28" s="525">
        <v>7</v>
      </c>
      <c r="X28" s="525">
        <v>8</v>
      </c>
      <c r="Y28" s="525">
        <v>9</v>
      </c>
      <c r="Z28" s="525">
        <v>10</v>
      </c>
      <c r="AA28" s="525">
        <v>11</v>
      </c>
      <c r="AB28" s="526">
        <f t="shared" si="4"/>
        <v>0</v>
      </c>
      <c r="AC28" s="527">
        <f t="shared" si="5"/>
        <v>0</v>
      </c>
      <c r="AD28" s="527">
        <f t="shared" si="6"/>
        <v>0</v>
      </c>
      <c r="AE28" s="528">
        <f t="shared" si="2"/>
        <v>0</v>
      </c>
      <c r="AF28" s="528">
        <f t="shared" si="7"/>
        <v>0</v>
      </c>
      <c r="AG28" s="528">
        <f t="shared" si="8"/>
        <v>0</v>
      </c>
      <c r="AH28" s="529">
        <f t="shared" si="9"/>
        <v>0</v>
      </c>
      <c r="AI28" s="530">
        <f t="shared" si="10"/>
        <v>0</v>
      </c>
      <c r="AJ28" s="530">
        <f t="shared" si="11"/>
        <v>0</v>
      </c>
      <c r="AK28" s="530">
        <f t="shared" si="12"/>
        <v>0</v>
      </c>
      <c r="AL28" s="530">
        <f t="shared" si="13"/>
        <v>0</v>
      </c>
      <c r="AM28" s="530">
        <f t="shared" si="14"/>
        <v>0</v>
      </c>
      <c r="AN28" s="531">
        <f t="shared" si="15"/>
        <v>0</v>
      </c>
      <c r="AO28" s="531">
        <f t="shared" si="16"/>
        <v>6594.71</v>
      </c>
      <c r="AP28" s="531">
        <f t="shared" si="17"/>
        <v>0</v>
      </c>
      <c r="AQ28" s="531">
        <f t="shared" si="18"/>
        <v>0</v>
      </c>
      <c r="AR28" s="531">
        <f t="shared" si="19"/>
        <v>0</v>
      </c>
      <c r="AS28" s="531">
        <f t="shared" si="20"/>
        <v>0</v>
      </c>
      <c r="AT28" s="531">
        <f t="shared" si="21"/>
        <v>0</v>
      </c>
      <c r="AU28" s="531">
        <f t="shared" si="22"/>
        <v>0</v>
      </c>
      <c r="AV28" s="531">
        <f t="shared" si="23"/>
        <v>0</v>
      </c>
      <c r="AW28" s="531">
        <f t="shared" si="24"/>
        <v>0</v>
      </c>
      <c r="AX28" s="531">
        <f t="shared" si="25"/>
        <v>0</v>
      </c>
      <c r="AY28" s="531">
        <f t="shared" si="26"/>
        <v>0</v>
      </c>
      <c r="AZ28" s="510">
        <f t="shared" si="27"/>
        <v>6594.71</v>
      </c>
      <c r="BA28" s="643"/>
    </row>
    <row r="29" spans="1:53" x14ac:dyDescent="0.2">
      <c r="A29" s="480">
        <v>29</v>
      </c>
      <c r="B29" s="637">
        <f t="shared" si="3"/>
        <v>22</v>
      </c>
      <c r="C29" s="672" t="s">
        <v>290</v>
      </c>
      <c r="D29" s="516">
        <v>614.22</v>
      </c>
      <c r="E29" s="517">
        <v>767.78</v>
      </c>
      <c r="F29" s="517">
        <v>783.14</v>
      </c>
      <c r="G29" s="518">
        <v>882.95</v>
      </c>
      <c r="H29" s="518">
        <v>1059.53</v>
      </c>
      <c r="I29" s="519">
        <v>1354.61</v>
      </c>
      <c r="J29" s="520">
        <v>1589.29</v>
      </c>
      <c r="K29" s="521">
        <v>2167.37</v>
      </c>
      <c r="L29" s="522">
        <v>2582.6</v>
      </c>
      <c r="M29" s="523">
        <v>3251.05</v>
      </c>
      <c r="N29" s="522">
        <v>4003.03</v>
      </c>
      <c r="O29" s="524">
        <v>4551.47</v>
      </c>
      <c r="P29" s="525">
        <v>6444.89</v>
      </c>
      <c r="Q29" s="525">
        <v>6444.89</v>
      </c>
      <c r="R29" s="525">
        <v>2</v>
      </c>
      <c r="S29" s="525">
        <v>3</v>
      </c>
      <c r="T29" s="525">
        <v>4</v>
      </c>
      <c r="U29" s="525">
        <v>5</v>
      </c>
      <c r="V29" s="525">
        <v>6</v>
      </c>
      <c r="W29" s="525">
        <v>7</v>
      </c>
      <c r="X29" s="525">
        <v>8</v>
      </c>
      <c r="Y29" s="525">
        <v>9</v>
      </c>
      <c r="Z29" s="525">
        <v>10</v>
      </c>
      <c r="AA29" s="525">
        <v>11</v>
      </c>
      <c r="AB29" s="526">
        <f t="shared" si="4"/>
        <v>0</v>
      </c>
      <c r="AC29" s="527">
        <f t="shared" si="5"/>
        <v>0</v>
      </c>
      <c r="AD29" s="527">
        <f t="shared" si="6"/>
        <v>0</v>
      </c>
      <c r="AE29" s="528">
        <f t="shared" si="2"/>
        <v>0</v>
      </c>
      <c r="AF29" s="528">
        <f t="shared" si="7"/>
        <v>0</v>
      </c>
      <c r="AG29" s="528">
        <f t="shared" si="8"/>
        <v>0</v>
      </c>
      <c r="AH29" s="529">
        <f t="shared" si="9"/>
        <v>0</v>
      </c>
      <c r="AI29" s="530">
        <f t="shared" si="10"/>
        <v>0</v>
      </c>
      <c r="AJ29" s="530">
        <f t="shared" si="11"/>
        <v>0</v>
      </c>
      <c r="AK29" s="530">
        <f t="shared" si="12"/>
        <v>0</v>
      </c>
      <c r="AL29" s="530">
        <f t="shared" si="13"/>
        <v>0</v>
      </c>
      <c r="AM29" s="530">
        <f t="shared" si="14"/>
        <v>0</v>
      </c>
      <c r="AN29" s="531">
        <f t="shared" si="15"/>
        <v>0</v>
      </c>
      <c r="AO29" s="531">
        <f t="shared" si="16"/>
        <v>6444.89</v>
      </c>
      <c r="AP29" s="531">
        <f t="shared" si="17"/>
        <v>0</v>
      </c>
      <c r="AQ29" s="531">
        <f t="shared" si="18"/>
        <v>0</v>
      </c>
      <c r="AR29" s="531">
        <f t="shared" si="19"/>
        <v>0</v>
      </c>
      <c r="AS29" s="531">
        <f t="shared" si="20"/>
        <v>0</v>
      </c>
      <c r="AT29" s="531">
        <f t="shared" si="21"/>
        <v>0</v>
      </c>
      <c r="AU29" s="531">
        <f t="shared" si="22"/>
        <v>0</v>
      </c>
      <c r="AV29" s="531">
        <f t="shared" si="23"/>
        <v>0</v>
      </c>
      <c r="AW29" s="531">
        <f t="shared" si="24"/>
        <v>0</v>
      </c>
      <c r="AX29" s="531">
        <f t="shared" si="25"/>
        <v>0</v>
      </c>
      <c r="AY29" s="531">
        <f t="shared" si="26"/>
        <v>0</v>
      </c>
      <c r="AZ29" s="510">
        <f t="shared" si="27"/>
        <v>6444.89</v>
      </c>
      <c r="BA29" s="643"/>
    </row>
    <row r="30" spans="1:53" x14ac:dyDescent="0.2">
      <c r="A30" s="480">
        <v>30</v>
      </c>
      <c r="B30" s="637">
        <f t="shared" si="3"/>
        <v>23</v>
      </c>
      <c r="C30" s="672" t="s">
        <v>291</v>
      </c>
      <c r="D30" s="516">
        <v>701.9</v>
      </c>
      <c r="E30" s="517">
        <v>877.38</v>
      </c>
      <c r="F30" s="517">
        <v>894.93</v>
      </c>
      <c r="G30" s="518">
        <v>1008.99</v>
      </c>
      <c r="H30" s="518">
        <v>1210.78</v>
      </c>
      <c r="I30" s="519">
        <v>1354.61</v>
      </c>
      <c r="J30" s="520">
        <v>1816.17</v>
      </c>
      <c r="K30" s="521">
        <v>2270.21</v>
      </c>
      <c r="L30" s="522">
        <v>2951.27</v>
      </c>
      <c r="M30" s="523">
        <v>3251.05</v>
      </c>
      <c r="N30" s="522">
        <v>4574.47</v>
      </c>
      <c r="O30" s="524">
        <v>4574.47</v>
      </c>
      <c r="P30" s="525">
        <v>7364.91</v>
      </c>
      <c r="Q30" s="525">
        <v>7364.91</v>
      </c>
      <c r="R30" s="525">
        <v>2</v>
      </c>
      <c r="S30" s="525">
        <v>3</v>
      </c>
      <c r="T30" s="525">
        <v>4</v>
      </c>
      <c r="U30" s="525">
        <v>5</v>
      </c>
      <c r="V30" s="525">
        <v>6</v>
      </c>
      <c r="W30" s="525">
        <v>7</v>
      </c>
      <c r="X30" s="525">
        <v>8</v>
      </c>
      <c r="Y30" s="525">
        <v>9</v>
      </c>
      <c r="Z30" s="525">
        <v>10</v>
      </c>
      <c r="AA30" s="525">
        <v>11</v>
      </c>
      <c r="AB30" s="526">
        <f t="shared" si="4"/>
        <v>0</v>
      </c>
      <c r="AC30" s="527">
        <f t="shared" si="5"/>
        <v>0</v>
      </c>
      <c r="AD30" s="527">
        <f t="shared" si="6"/>
        <v>0</v>
      </c>
      <c r="AE30" s="528">
        <f t="shared" si="2"/>
        <v>0</v>
      </c>
      <c r="AF30" s="528">
        <f t="shared" si="7"/>
        <v>0</v>
      </c>
      <c r="AG30" s="528">
        <f t="shared" si="8"/>
        <v>0</v>
      </c>
      <c r="AH30" s="529">
        <f t="shared" si="9"/>
        <v>0</v>
      </c>
      <c r="AI30" s="530">
        <f t="shared" si="10"/>
        <v>0</v>
      </c>
      <c r="AJ30" s="530">
        <f t="shared" si="11"/>
        <v>0</v>
      </c>
      <c r="AK30" s="530">
        <f t="shared" si="12"/>
        <v>0</v>
      </c>
      <c r="AL30" s="530">
        <f t="shared" si="13"/>
        <v>0</v>
      </c>
      <c r="AM30" s="530">
        <f t="shared" si="14"/>
        <v>0</v>
      </c>
      <c r="AN30" s="531">
        <f t="shared" si="15"/>
        <v>0</v>
      </c>
      <c r="AO30" s="531">
        <f t="shared" si="16"/>
        <v>7364.91</v>
      </c>
      <c r="AP30" s="531">
        <f t="shared" si="17"/>
        <v>0</v>
      </c>
      <c r="AQ30" s="531">
        <f t="shared" si="18"/>
        <v>0</v>
      </c>
      <c r="AR30" s="531">
        <f t="shared" si="19"/>
        <v>0</v>
      </c>
      <c r="AS30" s="531">
        <f t="shared" si="20"/>
        <v>0</v>
      </c>
      <c r="AT30" s="531">
        <f t="shared" si="21"/>
        <v>0</v>
      </c>
      <c r="AU30" s="531">
        <f t="shared" si="22"/>
        <v>0</v>
      </c>
      <c r="AV30" s="531">
        <f t="shared" si="23"/>
        <v>0</v>
      </c>
      <c r="AW30" s="531">
        <f t="shared" si="24"/>
        <v>0</v>
      </c>
      <c r="AX30" s="531">
        <f t="shared" si="25"/>
        <v>0</v>
      </c>
      <c r="AY30" s="531">
        <f t="shared" si="26"/>
        <v>0</v>
      </c>
      <c r="AZ30" s="510">
        <f t="shared" si="27"/>
        <v>7364.91</v>
      </c>
      <c r="BA30" s="643"/>
    </row>
    <row r="31" spans="1:53" x14ac:dyDescent="0.2">
      <c r="A31" s="480">
        <v>31</v>
      </c>
      <c r="B31" s="637">
        <f t="shared" si="3"/>
        <v>24</v>
      </c>
      <c r="C31" s="672" t="s">
        <v>292</v>
      </c>
      <c r="D31" s="516">
        <v>827.54</v>
      </c>
      <c r="E31" s="517">
        <v>1034.43</v>
      </c>
      <c r="F31" s="517">
        <v>1055.1199999999999</v>
      </c>
      <c r="G31" s="518">
        <v>1189.5899999999999</v>
      </c>
      <c r="H31" s="518">
        <v>1427.51</v>
      </c>
      <c r="I31" s="532">
        <v>1427.51</v>
      </c>
      <c r="J31" s="520">
        <v>2141.2600000000002</v>
      </c>
      <c r="K31" s="521">
        <v>2676.57</v>
      </c>
      <c r="L31" s="522">
        <v>3479.55</v>
      </c>
      <c r="M31" s="523">
        <v>3479.55</v>
      </c>
      <c r="N31" s="522">
        <v>5393.3</v>
      </c>
      <c r="O31" s="524">
        <v>5393.3</v>
      </c>
      <c r="P31" s="525">
        <v>8683.23</v>
      </c>
      <c r="Q31" s="525">
        <v>8683.23</v>
      </c>
      <c r="R31" s="525">
        <v>2</v>
      </c>
      <c r="S31" s="525">
        <v>3</v>
      </c>
      <c r="T31" s="525">
        <v>4</v>
      </c>
      <c r="U31" s="525">
        <v>5</v>
      </c>
      <c r="V31" s="525">
        <v>6</v>
      </c>
      <c r="W31" s="525">
        <v>7</v>
      </c>
      <c r="X31" s="525">
        <v>8</v>
      </c>
      <c r="Y31" s="525">
        <v>9</v>
      </c>
      <c r="Z31" s="525">
        <v>10</v>
      </c>
      <c r="AA31" s="525">
        <v>11</v>
      </c>
      <c r="AB31" s="526">
        <f t="shared" si="4"/>
        <v>0</v>
      </c>
      <c r="AC31" s="527">
        <f t="shared" si="5"/>
        <v>0</v>
      </c>
      <c r="AD31" s="527">
        <f t="shared" si="6"/>
        <v>0</v>
      </c>
      <c r="AE31" s="528">
        <f t="shared" si="2"/>
        <v>0</v>
      </c>
      <c r="AF31" s="528">
        <f t="shared" si="7"/>
        <v>0</v>
      </c>
      <c r="AG31" s="528">
        <f t="shared" si="8"/>
        <v>0</v>
      </c>
      <c r="AH31" s="529">
        <f t="shared" si="9"/>
        <v>0</v>
      </c>
      <c r="AI31" s="530">
        <f t="shared" si="10"/>
        <v>0</v>
      </c>
      <c r="AJ31" s="530">
        <f t="shared" si="11"/>
        <v>0</v>
      </c>
      <c r="AK31" s="530">
        <f t="shared" si="12"/>
        <v>0</v>
      </c>
      <c r="AL31" s="530">
        <f t="shared" si="13"/>
        <v>0</v>
      </c>
      <c r="AM31" s="530">
        <f t="shared" si="14"/>
        <v>0</v>
      </c>
      <c r="AN31" s="531">
        <f t="shared" si="15"/>
        <v>0</v>
      </c>
      <c r="AO31" s="531">
        <f t="shared" si="16"/>
        <v>8683.23</v>
      </c>
      <c r="AP31" s="531">
        <f t="shared" si="17"/>
        <v>0</v>
      </c>
      <c r="AQ31" s="531">
        <f t="shared" si="18"/>
        <v>0</v>
      </c>
      <c r="AR31" s="531">
        <f t="shared" si="19"/>
        <v>0</v>
      </c>
      <c r="AS31" s="531">
        <f t="shared" si="20"/>
        <v>0</v>
      </c>
      <c r="AT31" s="531">
        <f t="shared" si="21"/>
        <v>0</v>
      </c>
      <c r="AU31" s="531">
        <f t="shared" si="22"/>
        <v>0</v>
      </c>
      <c r="AV31" s="531">
        <f t="shared" si="23"/>
        <v>0</v>
      </c>
      <c r="AW31" s="531">
        <f t="shared" si="24"/>
        <v>0</v>
      </c>
      <c r="AX31" s="531">
        <f t="shared" si="25"/>
        <v>0</v>
      </c>
      <c r="AY31" s="531">
        <f t="shared" si="26"/>
        <v>0</v>
      </c>
      <c r="AZ31" s="510">
        <f t="shared" si="27"/>
        <v>8683.23</v>
      </c>
      <c r="BA31" s="643"/>
    </row>
    <row r="32" spans="1:53" x14ac:dyDescent="0.2">
      <c r="A32" s="480">
        <v>32</v>
      </c>
      <c r="B32" s="637">
        <f t="shared" si="3"/>
        <v>25</v>
      </c>
      <c r="C32" s="672" t="s">
        <v>293</v>
      </c>
      <c r="D32" s="516">
        <v>827.54</v>
      </c>
      <c r="E32" s="517">
        <v>1034.43</v>
      </c>
      <c r="F32" s="517">
        <v>1055.1199999999999</v>
      </c>
      <c r="G32" s="518">
        <v>1189.5899999999999</v>
      </c>
      <c r="H32" s="518">
        <v>1427.51</v>
      </c>
      <c r="I32" s="532">
        <v>1427.51</v>
      </c>
      <c r="J32" s="520">
        <v>2141.2600000000002</v>
      </c>
      <c r="K32" s="521">
        <v>2676.57</v>
      </c>
      <c r="L32" s="522">
        <v>3479.55</v>
      </c>
      <c r="M32" s="523">
        <v>3479.55</v>
      </c>
      <c r="N32" s="522">
        <v>5393.3</v>
      </c>
      <c r="O32" s="524">
        <v>5393.3</v>
      </c>
      <c r="P32" s="525">
        <v>8683.23</v>
      </c>
      <c r="Q32" s="525">
        <v>8683.23</v>
      </c>
      <c r="R32" s="525">
        <v>2</v>
      </c>
      <c r="S32" s="525">
        <v>3</v>
      </c>
      <c r="T32" s="525">
        <v>4</v>
      </c>
      <c r="U32" s="525">
        <v>5</v>
      </c>
      <c r="V32" s="525">
        <v>6</v>
      </c>
      <c r="W32" s="525">
        <v>7</v>
      </c>
      <c r="X32" s="525">
        <v>8</v>
      </c>
      <c r="Y32" s="525">
        <v>9</v>
      </c>
      <c r="Z32" s="525">
        <v>10</v>
      </c>
      <c r="AA32" s="525">
        <v>11</v>
      </c>
      <c r="AB32" s="526">
        <f t="shared" si="4"/>
        <v>0</v>
      </c>
      <c r="AC32" s="527">
        <f t="shared" si="5"/>
        <v>0</v>
      </c>
      <c r="AD32" s="527">
        <f t="shared" si="6"/>
        <v>0</v>
      </c>
      <c r="AE32" s="528">
        <f t="shared" si="2"/>
        <v>0</v>
      </c>
      <c r="AF32" s="528">
        <f t="shared" si="7"/>
        <v>0</v>
      </c>
      <c r="AG32" s="528">
        <f t="shared" si="8"/>
        <v>0</v>
      </c>
      <c r="AH32" s="529">
        <f t="shared" si="9"/>
        <v>0</v>
      </c>
      <c r="AI32" s="530">
        <f t="shared" si="10"/>
        <v>0</v>
      </c>
      <c r="AJ32" s="530">
        <f t="shared" si="11"/>
        <v>0</v>
      </c>
      <c r="AK32" s="530">
        <f t="shared" si="12"/>
        <v>0</v>
      </c>
      <c r="AL32" s="530">
        <f t="shared" si="13"/>
        <v>0</v>
      </c>
      <c r="AM32" s="530">
        <f t="shared" si="14"/>
        <v>0</v>
      </c>
      <c r="AN32" s="531">
        <f t="shared" si="15"/>
        <v>0</v>
      </c>
      <c r="AO32" s="531">
        <f t="shared" si="16"/>
        <v>8683.23</v>
      </c>
      <c r="AP32" s="531">
        <f t="shared" si="17"/>
        <v>0</v>
      </c>
      <c r="AQ32" s="531">
        <f t="shared" si="18"/>
        <v>0</v>
      </c>
      <c r="AR32" s="531">
        <f t="shared" si="19"/>
        <v>0</v>
      </c>
      <c r="AS32" s="531">
        <f t="shared" si="20"/>
        <v>0</v>
      </c>
      <c r="AT32" s="531">
        <f t="shared" si="21"/>
        <v>0</v>
      </c>
      <c r="AU32" s="531">
        <f t="shared" si="22"/>
        <v>0</v>
      </c>
      <c r="AV32" s="531">
        <f t="shared" si="23"/>
        <v>0</v>
      </c>
      <c r="AW32" s="531">
        <f t="shared" si="24"/>
        <v>0</v>
      </c>
      <c r="AX32" s="531">
        <f t="shared" si="25"/>
        <v>0</v>
      </c>
      <c r="AY32" s="531">
        <f t="shared" si="26"/>
        <v>0</v>
      </c>
      <c r="AZ32" s="510">
        <f t="shared" si="27"/>
        <v>8683.23</v>
      </c>
      <c r="BA32" s="643"/>
    </row>
    <row r="33" spans="1:53" x14ac:dyDescent="0.2">
      <c r="A33" s="480">
        <v>33</v>
      </c>
      <c r="B33" s="637">
        <f t="shared" si="3"/>
        <v>26</v>
      </c>
      <c r="C33" s="672" t="s">
        <v>294</v>
      </c>
      <c r="D33" s="516">
        <v>781.54</v>
      </c>
      <c r="E33" s="517">
        <v>976.93</v>
      </c>
      <c r="F33" s="517">
        <v>996.47</v>
      </c>
      <c r="G33" s="518">
        <v>1123.47</v>
      </c>
      <c r="H33" s="518">
        <v>1348.16</v>
      </c>
      <c r="I33" s="519">
        <v>1354.61</v>
      </c>
      <c r="J33" s="520">
        <v>2022.23</v>
      </c>
      <c r="K33" s="521">
        <v>2527.79</v>
      </c>
      <c r="L33" s="522">
        <v>3286.13</v>
      </c>
      <c r="M33" s="523">
        <v>3286.13</v>
      </c>
      <c r="N33" s="522">
        <v>5093.5</v>
      </c>
      <c r="O33" s="524">
        <v>5093.5</v>
      </c>
      <c r="P33" s="525">
        <v>8200.56</v>
      </c>
      <c r="Q33" s="525">
        <v>8200.56</v>
      </c>
      <c r="R33" s="525">
        <v>2</v>
      </c>
      <c r="S33" s="525">
        <v>3</v>
      </c>
      <c r="T33" s="525">
        <v>4</v>
      </c>
      <c r="U33" s="525">
        <v>5</v>
      </c>
      <c r="V33" s="525">
        <v>6</v>
      </c>
      <c r="W33" s="525">
        <v>7</v>
      </c>
      <c r="X33" s="525">
        <v>8</v>
      </c>
      <c r="Y33" s="525">
        <v>9</v>
      </c>
      <c r="Z33" s="525">
        <v>10</v>
      </c>
      <c r="AA33" s="525">
        <v>11</v>
      </c>
      <c r="AB33" s="526">
        <f t="shared" si="4"/>
        <v>0</v>
      </c>
      <c r="AC33" s="527">
        <f t="shared" si="5"/>
        <v>0</v>
      </c>
      <c r="AD33" s="527">
        <f t="shared" si="6"/>
        <v>0</v>
      </c>
      <c r="AE33" s="528">
        <f t="shared" si="2"/>
        <v>0</v>
      </c>
      <c r="AF33" s="528">
        <f t="shared" si="7"/>
        <v>0</v>
      </c>
      <c r="AG33" s="528">
        <f t="shared" si="8"/>
        <v>0</v>
      </c>
      <c r="AH33" s="529">
        <f t="shared" si="9"/>
        <v>0</v>
      </c>
      <c r="AI33" s="530">
        <f t="shared" si="10"/>
        <v>0</v>
      </c>
      <c r="AJ33" s="530">
        <f t="shared" si="11"/>
        <v>0</v>
      </c>
      <c r="AK33" s="530">
        <f t="shared" si="12"/>
        <v>0</v>
      </c>
      <c r="AL33" s="530">
        <f t="shared" si="13"/>
        <v>0</v>
      </c>
      <c r="AM33" s="530">
        <f t="shared" si="14"/>
        <v>0</v>
      </c>
      <c r="AN33" s="531">
        <f t="shared" si="15"/>
        <v>0</v>
      </c>
      <c r="AO33" s="531">
        <f t="shared" si="16"/>
        <v>8200.56</v>
      </c>
      <c r="AP33" s="531">
        <f t="shared" si="17"/>
        <v>0</v>
      </c>
      <c r="AQ33" s="531">
        <f t="shared" si="18"/>
        <v>0</v>
      </c>
      <c r="AR33" s="531">
        <f t="shared" si="19"/>
        <v>0</v>
      </c>
      <c r="AS33" s="531">
        <f t="shared" si="20"/>
        <v>0</v>
      </c>
      <c r="AT33" s="531">
        <f t="shared" si="21"/>
        <v>0</v>
      </c>
      <c r="AU33" s="531">
        <f t="shared" si="22"/>
        <v>0</v>
      </c>
      <c r="AV33" s="531">
        <f t="shared" si="23"/>
        <v>0</v>
      </c>
      <c r="AW33" s="531">
        <f t="shared" si="24"/>
        <v>0</v>
      </c>
      <c r="AX33" s="531">
        <f t="shared" si="25"/>
        <v>0</v>
      </c>
      <c r="AY33" s="531">
        <f t="shared" si="26"/>
        <v>0</v>
      </c>
      <c r="AZ33" s="510">
        <f t="shared" si="27"/>
        <v>8200.56</v>
      </c>
      <c r="BA33" s="643"/>
    </row>
    <row r="34" spans="1:53" x14ac:dyDescent="0.2">
      <c r="A34" s="480">
        <v>34</v>
      </c>
      <c r="B34" s="637">
        <f t="shared" si="3"/>
        <v>27</v>
      </c>
      <c r="C34" s="672" t="s">
        <v>295</v>
      </c>
      <c r="D34" s="516">
        <v>827.54</v>
      </c>
      <c r="E34" s="517">
        <v>1034.43</v>
      </c>
      <c r="F34" s="517">
        <v>1055.1199999999999</v>
      </c>
      <c r="G34" s="518">
        <v>1189.5899999999999</v>
      </c>
      <c r="H34" s="518">
        <v>1427.51</v>
      </c>
      <c r="I34" s="532">
        <v>1427.51</v>
      </c>
      <c r="J34" s="520">
        <v>2141.2600000000002</v>
      </c>
      <c r="K34" s="521">
        <v>2676.57</v>
      </c>
      <c r="L34" s="522">
        <v>3479.55</v>
      </c>
      <c r="M34" s="523">
        <v>3479.55</v>
      </c>
      <c r="N34" s="522">
        <v>5393.3</v>
      </c>
      <c r="O34" s="524">
        <v>5393.3</v>
      </c>
      <c r="P34" s="525">
        <v>8683.23</v>
      </c>
      <c r="Q34" s="525">
        <v>8683.23</v>
      </c>
      <c r="R34" s="525">
        <v>2</v>
      </c>
      <c r="S34" s="525">
        <v>3</v>
      </c>
      <c r="T34" s="525">
        <v>4</v>
      </c>
      <c r="U34" s="525">
        <v>5</v>
      </c>
      <c r="V34" s="525">
        <v>6</v>
      </c>
      <c r="W34" s="525">
        <v>7</v>
      </c>
      <c r="X34" s="525">
        <v>8</v>
      </c>
      <c r="Y34" s="525">
        <v>9</v>
      </c>
      <c r="Z34" s="525">
        <v>10</v>
      </c>
      <c r="AA34" s="525">
        <v>11</v>
      </c>
      <c r="AB34" s="526">
        <f t="shared" si="4"/>
        <v>0</v>
      </c>
      <c r="AC34" s="527">
        <f t="shared" si="5"/>
        <v>0</v>
      </c>
      <c r="AD34" s="527">
        <f t="shared" si="6"/>
        <v>0</v>
      </c>
      <c r="AE34" s="528">
        <f t="shared" si="2"/>
        <v>0</v>
      </c>
      <c r="AF34" s="528">
        <f t="shared" si="7"/>
        <v>0</v>
      </c>
      <c r="AG34" s="528">
        <f t="shared" si="8"/>
        <v>0</v>
      </c>
      <c r="AH34" s="529">
        <f t="shared" si="9"/>
        <v>0</v>
      </c>
      <c r="AI34" s="530">
        <f t="shared" si="10"/>
        <v>0</v>
      </c>
      <c r="AJ34" s="530">
        <f t="shared" si="11"/>
        <v>0</v>
      </c>
      <c r="AK34" s="530">
        <f t="shared" si="12"/>
        <v>0</v>
      </c>
      <c r="AL34" s="530">
        <f t="shared" si="13"/>
        <v>0</v>
      </c>
      <c r="AM34" s="530">
        <f t="shared" si="14"/>
        <v>0</v>
      </c>
      <c r="AN34" s="531">
        <f t="shared" si="15"/>
        <v>0</v>
      </c>
      <c r="AO34" s="531">
        <f t="shared" si="16"/>
        <v>8683.23</v>
      </c>
      <c r="AP34" s="531">
        <f t="shared" si="17"/>
        <v>0</v>
      </c>
      <c r="AQ34" s="531">
        <f t="shared" si="18"/>
        <v>0</v>
      </c>
      <c r="AR34" s="531">
        <f t="shared" si="19"/>
        <v>0</v>
      </c>
      <c r="AS34" s="531">
        <f t="shared" si="20"/>
        <v>0</v>
      </c>
      <c r="AT34" s="531">
        <f t="shared" si="21"/>
        <v>0</v>
      </c>
      <c r="AU34" s="531">
        <f t="shared" si="22"/>
        <v>0</v>
      </c>
      <c r="AV34" s="531">
        <f t="shared" si="23"/>
        <v>0</v>
      </c>
      <c r="AW34" s="531">
        <f t="shared" si="24"/>
        <v>0</v>
      </c>
      <c r="AX34" s="531">
        <f t="shared" si="25"/>
        <v>0</v>
      </c>
      <c r="AY34" s="531">
        <f t="shared" si="26"/>
        <v>0</v>
      </c>
      <c r="AZ34" s="510">
        <f t="shared" si="27"/>
        <v>8683.23</v>
      </c>
      <c r="BA34" s="643"/>
    </row>
    <row r="35" spans="1:53" x14ac:dyDescent="0.2">
      <c r="A35" s="480">
        <v>35</v>
      </c>
      <c r="B35" s="637">
        <f t="shared" si="3"/>
        <v>28</v>
      </c>
      <c r="C35" s="672" t="s">
        <v>296</v>
      </c>
      <c r="D35" s="516">
        <v>755.02</v>
      </c>
      <c r="E35" s="517">
        <v>943.78</v>
      </c>
      <c r="F35" s="517">
        <v>962.66</v>
      </c>
      <c r="G35" s="518">
        <v>1085.3499999999999</v>
      </c>
      <c r="H35" s="518">
        <v>1302.4100000000001</v>
      </c>
      <c r="I35" s="519">
        <v>1354.61</v>
      </c>
      <c r="J35" s="520">
        <v>1953.61</v>
      </c>
      <c r="K35" s="521">
        <v>2442.02</v>
      </c>
      <c r="L35" s="522">
        <v>3174.62</v>
      </c>
      <c r="M35" s="523">
        <v>3251.05</v>
      </c>
      <c r="N35" s="522">
        <v>4920.67</v>
      </c>
      <c r="O35" s="524">
        <v>4920.67</v>
      </c>
      <c r="P35" s="525">
        <v>7922.28</v>
      </c>
      <c r="Q35" s="525">
        <v>7922.28</v>
      </c>
      <c r="R35" s="525">
        <v>2</v>
      </c>
      <c r="S35" s="525">
        <v>3</v>
      </c>
      <c r="T35" s="525">
        <v>4</v>
      </c>
      <c r="U35" s="525">
        <v>5</v>
      </c>
      <c r="V35" s="525">
        <v>6</v>
      </c>
      <c r="W35" s="525">
        <v>7</v>
      </c>
      <c r="X35" s="525">
        <v>8</v>
      </c>
      <c r="Y35" s="525">
        <v>9</v>
      </c>
      <c r="Z35" s="525">
        <v>10</v>
      </c>
      <c r="AA35" s="525">
        <v>11</v>
      </c>
      <c r="AB35" s="526">
        <f t="shared" si="4"/>
        <v>0</v>
      </c>
      <c r="AC35" s="527">
        <f t="shared" si="5"/>
        <v>0</v>
      </c>
      <c r="AD35" s="527">
        <f t="shared" si="6"/>
        <v>0</v>
      </c>
      <c r="AE35" s="528">
        <f t="shared" si="2"/>
        <v>0</v>
      </c>
      <c r="AF35" s="528">
        <f t="shared" si="7"/>
        <v>0</v>
      </c>
      <c r="AG35" s="528">
        <f t="shared" si="8"/>
        <v>0</v>
      </c>
      <c r="AH35" s="529">
        <f t="shared" si="9"/>
        <v>0</v>
      </c>
      <c r="AI35" s="530">
        <f t="shared" si="10"/>
        <v>0</v>
      </c>
      <c r="AJ35" s="530">
        <f t="shared" si="11"/>
        <v>0</v>
      </c>
      <c r="AK35" s="530">
        <f t="shared" si="12"/>
        <v>0</v>
      </c>
      <c r="AL35" s="530">
        <f t="shared" si="13"/>
        <v>0</v>
      </c>
      <c r="AM35" s="530">
        <f t="shared" si="14"/>
        <v>0</v>
      </c>
      <c r="AN35" s="531">
        <f t="shared" si="15"/>
        <v>0</v>
      </c>
      <c r="AO35" s="531">
        <f t="shared" si="16"/>
        <v>7922.28</v>
      </c>
      <c r="AP35" s="531">
        <f t="shared" si="17"/>
        <v>0</v>
      </c>
      <c r="AQ35" s="531">
        <f t="shared" si="18"/>
        <v>0</v>
      </c>
      <c r="AR35" s="531">
        <f t="shared" si="19"/>
        <v>0</v>
      </c>
      <c r="AS35" s="531">
        <f t="shared" si="20"/>
        <v>0</v>
      </c>
      <c r="AT35" s="531">
        <f t="shared" si="21"/>
        <v>0</v>
      </c>
      <c r="AU35" s="531">
        <f t="shared" si="22"/>
        <v>0</v>
      </c>
      <c r="AV35" s="531">
        <f t="shared" si="23"/>
        <v>0</v>
      </c>
      <c r="AW35" s="531">
        <f t="shared" si="24"/>
        <v>0</v>
      </c>
      <c r="AX35" s="531">
        <f t="shared" si="25"/>
        <v>0</v>
      </c>
      <c r="AY35" s="531">
        <f t="shared" si="26"/>
        <v>0</v>
      </c>
      <c r="AZ35" s="510">
        <f t="shared" si="27"/>
        <v>7922.28</v>
      </c>
      <c r="BA35" s="643"/>
    </row>
    <row r="36" spans="1:53" x14ac:dyDescent="0.2">
      <c r="A36" s="480">
        <v>36</v>
      </c>
      <c r="B36" s="637">
        <f t="shared" si="3"/>
        <v>29</v>
      </c>
      <c r="C36" s="672" t="s">
        <v>297</v>
      </c>
      <c r="D36" s="516">
        <v>835.58</v>
      </c>
      <c r="E36" s="517">
        <v>1044.48</v>
      </c>
      <c r="F36" s="517">
        <v>1065.3699999999999</v>
      </c>
      <c r="G36" s="518">
        <v>1201.1500000000001</v>
      </c>
      <c r="H36" s="518">
        <v>1441.38</v>
      </c>
      <c r="I36" s="532">
        <v>1441.38</v>
      </c>
      <c r="J36" s="520">
        <v>2162.06</v>
      </c>
      <c r="K36" s="521">
        <v>2702.58</v>
      </c>
      <c r="L36" s="522">
        <v>3513.35</v>
      </c>
      <c r="M36" s="523">
        <v>3513.35</v>
      </c>
      <c r="N36" s="522">
        <v>5445.7</v>
      </c>
      <c r="O36" s="524">
        <v>5445.7</v>
      </c>
      <c r="P36" s="525">
        <v>8767.6</v>
      </c>
      <c r="Q36" s="525">
        <v>8767.6</v>
      </c>
      <c r="R36" s="525">
        <v>2</v>
      </c>
      <c r="S36" s="525">
        <v>3</v>
      </c>
      <c r="T36" s="525">
        <v>4</v>
      </c>
      <c r="U36" s="525">
        <v>5</v>
      </c>
      <c r="V36" s="525">
        <v>6</v>
      </c>
      <c r="W36" s="525">
        <v>7</v>
      </c>
      <c r="X36" s="525">
        <v>8</v>
      </c>
      <c r="Y36" s="525">
        <v>9</v>
      </c>
      <c r="Z36" s="525">
        <v>10</v>
      </c>
      <c r="AA36" s="525">
        <v>11</v>
      </c>
      <c r="AB36" s="526">
        <f t="shared" si="4"/>
        <v>0</v>
      </c>
      <c r="AC36" s="527">
        <f t="shared" si="5"/>
        <v>0</v>
      </c>
      <c r="AD36" s="527">
        <f t="shared" si="6"/>
        <v>0</v>
      </c>
      <c r="AE36" s="528">
        <f t="shared" si="2"/>
        <v>0</v>
      </c>
      <c r="AF36" s="528">
        <f t="shared" si="7"/>
        <v>0</v>
      </c>
      <c r="AG36" s="528">
        <f t="shared" si="8"/>
        <v>0</v>
      </c>
      <c r="AH36" s="529">
        <f t="shared" si="9"/>
        <v>0</v>
      </c>
      <c r="AI36" s="530">
        <f t="shared" si="10"/>
        <v>0</v>
      </c>
      <c r="AJ36" s="530">
        <f t="shared" si="11"/>
        <v>0</v>
      </c>
      <c r="AK36" s="530">
        <f t="shared" si="12"/>
        <v>0</v>
      </c>
      <c r="AL36" s="530">
        <f t="shared" si="13"/>
        <v>0</v>
      </c>
      <c r="AM36" s="530">
        <f t="shared" si="14"/>
        <v>0</v>
      </c>
      <c r="AN36" s="531">
        <f t="shared" si="15"/>
        <v>0</v>
      </c>
      <c r="AO36" s="531">
        <f t="shared" si="16"/>
        <v>8767.6</v>
      </c>
      <c r="AP36" s="531">
        <f t="shared" si="17"/>
        <v>0</v>
      </c>
      <c r="AQ36" s="531">
        <f t="shared" si="18"/>
        <v>0</v>
      </c>
      <c r="AR36" s="531">
        <f t="shared" si="19"/>
        <v>0</v>
      </c>
      <c r="AS36" s="531">
        <f t="shared" si="20"/>
        <v>0</v>
      </c>
      <c r="AT36" s="531">
        <f t="shared" si="21"/>
        <v>0</v>
      </c>
      <c r="AU36" s="531">
        <f t="shared" si="22"/>
        <v>0</v>
      </c>
      <c r="AV36" s="531">
        <f t="shared" si="23"/>
        <v>0</v>
      </c>
      <c r="AW36" s="531">
        <f t="shared" si="24"/>
        <v>0</v>
      </c>
      <c r="AX36" s="531">
        <f t="shared" si="25"/>
        <v>0</v>
      </c>
      <c r="AY36" s="531">
        <f t="shared" si="26"/>
        <v>0</v>
      </c>
      <c r="AZ36" s="510">
        <f t="shared" si="27"/>
        <v>8767.6</v>
      </c>
      <c r="BA36" s="643"/>
    </row>
    <row r="37" spans="1:53" x14ac:dyDescent="0.2">
      <c r="A37" s="480">
        <v>37</v>
      </c>
      <c r="B37" s="637">
        <f t="shared" si="3"/>
        <v>30</v>
      </c>
      <c r="C37" s="672" t="s">
        <v>298</v>
      </c>
      <c r="D37" s="516">
        <v>755.02</v>
      </c>
      <c r="E37" s="517">
        <v>943.78</v>
      </c>
      <c r="F37" s="517">
        <v>962.66</v>
      </c>
      <c r="G37" s="518">
        <v>1085.3499999999999</v>
      </c>
      <c r="H37" s="518">
        <v>1302.4100000000001</v>
      </c>
      <c r="I37" s="519">
        <v>1354.61</v>
      </c>
      <c r="J37" s="520">
        <v>1953.61</v>
      </c>
      <c r="K37" s="521">
        <v>2442.02</v>
      </c>
      <c r="L37" s="522">
        <v>3174.62</v>
      </c>
      <c r="M37" s="523">
        <v>3251.05</v>
      </c>
      <c r="N37" s="522">
        <v>4920.67</v>
      </c>
      <c r="O37" s="524">
        <v>4920.67</v>
      </c>
      <c r="P37" s="525">
        <v>7922.28</v>
      </c>
      <c r="Q37" s="525">
        <v>7922.28</v>
      </c>
      <c r="R37" s="525">
        <v>2</v>
      </c>
      <c r="S37" s="525">
        <v>3</v>
      </c>
      <c r="T37" s="525">
        <v>4</v>
      </c>
      <c r="U37" s="525">
        <v>5</v>
      </c>
      <c r="V37" s="525">
        <v>6</v>
      </c>
      <c r="W37" s="525">
        <v>7</v>
      </c>
      <c r="X37" s="525">
        <v>8</v>
      </c>
      <c r="Y37" s="525">
        <v>9</v>
      </c>
      <c r="Z37" s="525">
        <v>10</v>
      </c>
      <c r="AA37" s="525">
        <v>11</v>
      </c>
      <c r="AB37" s="526">
        <f t="shared" si="4"/>
        <v>0</v>
      </c>
      <c r="AC37" s="527">
        <f t="shared" si="5"/>
        <v>0</v>
      </c>
      <c r="AD37" s="527">
        <f t="shared" si="6"/>
        <v>0</v>
      </c>
      <c r="AE37" s="528">
        <f t="shared" si="2"/>
        <v>0</v>
      </c>
      <c r="AF37" s="528">
        <f t="shared" si="7"/>
        <v>0</v>
      </c>
      <c r="AG37" s="528">
        <f t="shared" si="8"/>
        <v>0</v>
      </c>
      <c r="AH37" s="529">
        <f t="shared" si="9"/>
        <v>0</v>
      </c>
      <c r="AI37" s="530">
        <f t="shared" si="10"/>
        <v>0</v>
      </c>
      <c r="AJ37" s="530">
        <f t="shared" si="11"/>
        <v>0</v>
      </c>
      <c r="AK37" s="530">
        <f t="shared" si="12"/>
        <v>0</v>
      </c>
      <c r="AL37" s="530">
        <f t="shared" si="13"/>
        <v>0</v>
      </c>
      <c r="AM37" s="530">
        <f t="shared" si="14"/>
        <v>0</v>
      </c>
      <c r="AN37" s="531">
        <f t="shared" si="15"/>
        <v>0</v>
      </c>
      <c r="AO37" s="531">
        <f t="shared" si="16"/>
        <v>7922.28</v>
      </c>
      <c r="AP37" s="531">
        <f t="shared" si="17"/>
        <v>0</v>
      </c>
      <c r="AQ37" s="531">
        <f t="shared" si="18"/>
        <v>0</v>
      </c>
      <c r="AR37" s="531">
        <f t="shared" si="19"/>
        <v>0</v>
      </c>
      <c r="AS37" s="531">
        <f t="shared" si="20"/>
        <v>0</v>
      </c>
      <c r="AT37" s="531">
        <f t="shared" si="21"/>
        <v>0</v>
      </c>
      <c r="AU37" s="531">
        <f t="shared" si="22"/>
        <v>0</v>
      </c>
      <c r="AV37" s="531">
        <f t="shared" si="23"/>
        <v>0</v>
      </c>
      <c r="AW37" s="531">
        <f t="shared" si="24"/>
        <v>0</v>
      </c>
      <c r="AX37" s="531">
        <f t="shared" si="25"/>
        <v>0</v>
      </c>
      <c r="AY37" s="531">
        <f t="shared" si="26"/>
        <v>0</v>
      </c>
      <c r="AZ37" s="510">
        <f t="shared" si="27"/>
        <v>7922.28</v>
      </c>
      <c r="BA37" s="643"/>
    </row>
    <row r="38" spans="1:53" x14ac:dyDescent="0.2">
      <c r="A38" s="480">
        <v>38</v>
      </c>
      <c r="B38" s="637">
        <f t="shared" si="3"/>
        <v>31</v>
      </c>
      <c r="C38" s="672" t="s">
        <v>299</v>
      </c>
      <c r="D38" s="516">
        <v>755.02</v>
      </c>
      <c r="E38" s="517">
        <v>943.78</v>
      </c>
      <c r="F38" s="517">
        <v>962.66</v>
      </c>
      <c r="G38" s="518">
        <v>1085.3499999999999</v>
      </c>
      <c r="H38" s="518">
        <v>1302.4100000000001</v>
      </c>
      <c r="I38" s="519">
        <v>1354.61</v>
      </c>
      <c r="J38" s="520">
        <v>1953.61</v>
      </c>
      <c r="K38" s="521">
        <v>2442.02</v>
      </c>
      <c r="L38" s="522">
        <v>3174.62</v>
      </c>
      <c r="M38" s="523">
        <v>3251.05</v>
      </c>
      <c r="N38" s="522">
        <v>4920.67</v>
      </c>
      <c r="O38" s="524">
        <v>4920.67</v>
      </c>
      <c r="P38" s="525">
        <v>7922.28</v>
      </c>
      <c r="Q38" s="525">
        <v>7922.28</v>
      </c>
      <c r="R38" s="525">
        <v>2</v>
      </c>
      <c r="S38" s="525">
        <v>3</v>
      </c>
      <c r="T38" s="525">
        <v>4</v>
      </c>
      <c r="U38" s="525">
        <v>5</v>
      </c>
      <c r="V38" s="525">
        <v>6</v>
      </c>
      <c r="W38" s="525">
        <v>7</v>
      </c>
      <c r="X38" s="525">
        <v>8</v>
      </c>
      <c r="Y38" s="525">
        <v>9</v>
      </c>
      <c r="Z38" s="525">
        <v>10</v>
      </c>
      <c r="AA38" s="525">
        <v>11</v>
      </c>
      <c r="AB38" s="526">
        <f t="shared" si="4"/>
        <v>0</v>
      </c>
      <c r="AC38" s="527">
        <f t="shared" si="5"/>
        <v>0</v>
      </c>
      <c r="AD38" s="527">
        <f t="shared" si="6"/>
        <v>0</v>
      </c>
      <c r="AE38" s="528">
        <f t="shared" si="2"/>
        <v>0</v>
      </c>
      <c r="AF38" s="528">
        <f t="shared" si="7"/>
        <v>0</v>
      </c>
      <c r="AG38" s="528">
        <f t="shared" si="8"/>
        <v>0</v>
      </c>
      <c r="AH38" s="529">
        <f t="shared" si="9"/>
        <v>0</v>
      </c>
      <c r="AI38" s="530">
        <f t="shared" si="10"/>
        <v>0</v>
      </c>
      <c r="AJ38" s="530">
        <f t="shared" si="11"/>
        <v>0</v>
      </c>
      <c r="AK38" s="530">
        <f t="shared" si="12"/>
        <v>0</v>
      </c>
      <c r="AL38" s="530">
        <f t="shared" si="13"/>
        <v>0</v>
      </c>
      <c r="AM38" s="530">
        <f t="shared" si="14"/>
        <v>0</v>
      </c>
      <c r="AN38" s="531">
        <f t="shared" si="15"/>
        <v>0</v>
      </c>
      <c r="AO38" s="531">
        <f t="shared" si="16"/>
        <v>7922.28</v>
      </c>
      <c r="AP38" s="531">
        <f t="shared" si="17"/>
        <v>0</v>
      </c>
      <c r="AQ38" s="531">
        <f t="shared" si="18"/>
        <v>0</v>
      </c>
      <c r="AR38" s="531">
        <f t="shared" si="19"/>
        <v>0</v>
      </c>
      <c r="AS38" s="531">
        <f t="shared" si="20"/>
        <v>0</v>
      </c>
      <c r="AT38" s="531">
        <f t="shared" si="21"/>
        <v>0</v>
      </c>
      <c r="AU38" s="531">
        <f t="shared" si="22"/>
        <v>0</v>
      </c>
      <c r="AV38" s="531">
        <f t="shared" si="23"/>
        <v>0</v>
      </c>
      <c r="AW38" s="531">
        <f t="shared" si="24"/>
        <v>0</v>
      </c>
      <c r="AX38" s="531">
        <f t="shared" si="25"/>
        <v>0</v>
      </c>
      <c r="AY38" s="531">
        <f t="shared" si="26"/>
        <v>0</v>
      </c>
      <c r="AZ38" s="510">
        <f t="shared" si="27"/>
        <v>7922.28</v>
      </c>
      <c r="BA38" s="643"/>
    </row>
    <row r="39" spans="1:53" x14ac:dyDescent="0.2">
      <c r="A39" s="480">
        <v>39</v>
      </c>
      <c r="B39" s="637">
        <f t="shared" si="3"/>
        <v>32</v>
      </c>
      <c r="C39" s="672" t="s">
        <v>300</v>
      </c>
      <c r="D39" s="516">
        <v>675.06</v>
      </c>
      <c r="E39" s="517">
        <v>843.83</v>
      </c>
      <c r="F39" s="517">
        <v>860.71</v>
      </c>
      <c r="G39" s="518">
        <v>970.4</v>
      </c>
      <c r="H39" s="518">
        <v>1164.48</v>
      </c>
      <c r="I39" s="519">
        <v>1354.61</v>
      </c>
      <c r="J39" s="520">
        <v>1746.72</v>
      </c>
      <c r="K39" s="521">
        <v>2183.4</v>
      </c>
      <c r="L39" s="522">
        <v>2838.42</v>
      </c>
      <c r="M39" s="523">
        <v>3251.05</v>
      </c>
      <c r="N39" s="522">
        <v>4399.55</v>
      </c>
      <c r="O39" s="524">
        <v>4551.47</v>
      </c>
      <c r="P39" s="525">
        <v>7083.28</v>
      </c>
      <c r="Q39" s="525">
        <v>7083.28</v>
      </c>
      <c r="R39" s="525">
        <v>2</v>
      </c>
      <c r="S39" s="525">
        <v>3</v>
      </c>
      <c r="T39" s="525">
        <v>4</v>
      </c>
      <c r="U39" s="525">
        <v>5</v>
      </c>
      <c r="V39" s="525">
        <v>6</v>
      </c>
      <c r="W39" s="525">
        <v>7</v>
      </c>
      <c r="X39" s="525">
        <v>8</v>
      </c>
      <c r="Y39" s="525">
        <v>9</v>
      </c>
      <c r="Z39" s="525">
        <v>10</v>
      </c>
      <c r="AA39" s="525">
        <v>11</v>
      </c>
      <c r="AB39" s="526">
        <f t="shared" si="4"/>
        <v>0</v>
      </c>
      <c r="AC39" s="527">
        <f t="shared" si="5"/>
        <v>0</v>
      </c>
      <c r="AD39" s="527">
        <f t="shared" si="6"/>
        <v>0</v>
      </c>
      <c r="AE39" s="528">
        <f t="shared" si="2"/>
        <v>0</v>
      </c>
      <c r="AF39" s="528">
        <f t="shared" si="7"/>
        <v>0</v>
      </c>
      <c r="AG39" s="528">
        <f t="shared" si="8"/>
        <v>0</v>
      </c>
      <c r="AH39" s="529">
        <f t="shared" si="9"/>
        <v>0</v>
      </c>
      <c r="AI39" s="530">
        <f t="shared" si="10"/>
        <v>0</v>
      </c>
      <c r="AJ39" s="530">
        <f t="shared" si="11"/>
        <v>0</v>
      </c>
      <c r="AK39" s="530">
        <f t="shared" si="12"/>
        <v>0</v>
      </c>
      <c r="AL39" s="530">
        <f t="shared" si="13"/>
        <v>0</v>
      </c>
      <c r="AM39" s="530">
        <f t="shared" si="14"/>
        <v>0</v>
      </c>
      <c r="AN39" s="531">
        <f t="shared" si="15"/>
        <v>0</v>
      </c>
      <c r="AO39" s="531">
        <f t="shared" si="16"/>
        <v>7083.28</v>
      </c>
      <c r="AP39" s="531">
        <f t="shared" si="17"/>
        <v>0</v>
      </c>
      <c r="AQ39" s="531">
        <f t="shared" si="18"/>
        <v>0</v>
      </c>
      <c r="AR39" s="531">
        <f t="shared" si="19"/>
        <v>0</v>
      </c>
      <c r="AS39" s="531">
        <f t="shared" si="20"/>
        <v>0</v>
      </c>
      <c r="AT39" s="531">
        <f t="shared" si="21"/>
        <v>0</v>
      </c>
      <c r="AU39" s="531">
        <f t="shared" si="22"/>
        <v>0</v>
      </c>
      <c r="AV39" s="531">
        <f t="shared" si="23"/>
        <v>0</v>
      </c>
      <c r="AW39" s="531">
        <f t="shared" si="24"/>
        <v>0</v>
      </c>
      <c r="AX39" s="531">
        <f t="shared" si="25"/>
        <v>0</v>
      </c>
      <c r="AY39" s="531">
        <f t="shared" si="26"/>
        <v>0</v>
      </c>
      <c r="AZ39" s="510">
        <f t="shared" si="27"/>
        <v>7083.28</v>
      </c>
      <c r="BA39" s="643"/>
    </row>
    <row r="40" spans="1:53" x14ac:dyDescent="0.2">
      <c r="A40" s="480">
        <v>40</v>
      </c>
      <c r="B40" s="637">
        <f t="shared" si="3"/>
        <v>33</v>
      </c>
      <c r="C40" s="672" t="s">
        <v>301</v>
      </c>
      <c r="D40" s="516">
        <v>628.5</v>
      </c>
      <c r="E40" s="517">
        <v>785.63</v>
      </c>
      <c r="F40" s="517">
        <v>801.34</v>
      </c>
      <c r="G40" s="518">
        <v>903.47</v>
      </c>
      <c r="H40" s="518">
        <v>1084.1600000000001</v>
      </c>
      <c r="I40" s="519">
        <v>1354.61</v>
      </c>
      <c r="J40" s="520">
        <v>1626.24</v>
      </c>
      <c r="K40" s="521">
        <v>2167.37</v>
      </c>
      <c r="L40" s="522">
        <v>2642.65</v>
      </c>
      <c r="M40" s="523">
        <v>3251.05</v>
      </c>
      <c r="N40" s="522">
        <v>4096.1000000000004</v>
      </c>
      <c r="O40" s="524">
        <v>4551.47</v>
      </c>
      <c r="P40" s="525">
        <v>6594.71</v>
      </c>
      <c r="Q40" s="525">
        <v>6594.71</v>
      </c>
      <c r="R40" s="525">
        <v>2</v>
      </c>
      <c r="S40" s="525">
        <v>3</v>
      </c>
      <c r="T40" s="525">
        <v>4</v>
      </c>
      <c r="U40" s="525">
        <v>5</v>
      </c>
      <c r="V40" s="525">
        <v>6</v>
      </c>
      <c r="W40" s="525">
        <v>7</v>
      </c>
      <c r="X40" s="525">
        <v>8</v>
      </c>
      <c r="Y40" s="525">
        <v>9</v>
      </c>
      <c r="Z40" s="525">
        <v>10</v>
      </c>
      <c r="AA40" s="525">
        <v>11</v>
      </c>
      <c r="AB40" s="526">
        <f t="shared" si="4"/>
        <v>0</v>
      </c>
      <c r="AC40" s="527">
        <f t="shared" si="5"/>
        <v>0</v>
      </c>
      <c r="AD40" s="527">
        <f t="shared" si="6"/>
        <v>0</v>
      </c>
      <c r="AE40" s="528">
        <f t="shared" si="2"/>
        <v>0</v>
      </c>
      <c r="AF40" s="528">
        <f t="shared" si="7"/>
        <v>0</v>
      </c>
      <c r="AG40" s="528">
        <f t="shared" si="8"/>
        <v>0</v>
      </c>
      <c r="AH40" s="529">
        <f t="shared" si="9"/>
        <v>0</v>
      </c>
      <c r="AI40" s="530">
        <f t="shared" si="10"/>
        <v>0</v>
      </c>
      <c r="AJ40" s="530">
        <f t="shared" si="11"/>
        <v>0</v>
      </c>
      <c r="AK40" s="530">
        <f t="shared" si="12"/>
        <v>0</v>
      </c>
      <c r="AL40" s="530">
        <f t="shared" si="13"/>
        <v>0</v>
      </c>
      <c r="AM40" s="530">
        <f t="shared" si="14"/>
        <v>0</v>
      </c>
      <c r="AN40" s="531">
        <f t="shared" si="15"/>
        <v>0</v>
      </c>
      <c r="AO40" s="531">
        <f t="shared" si="16"/>
        <v>6594.71</v>
      </c>
      <c r="AP40" s="531">
        <f t="shared" si="17"/>
        <v>0</v>
      </c>
      <c r="AQ40" s="531">
        <f t="shared" si="18"/>
        <v>0</v>
      </c>
      <c r="AR40" s="531">
        <f t="shared" si="19"/>
        <v>0</v>
      </c>
      <c r="AS40" s="531">
        <f t="shared" si="20"/>
        <v>0</v>
      </c>
      <c r="AT40" s="531">
        <f t="shared" si="21"/>
        <v>0</v>
      </c>
      <c r="AU40" s="531">
        <f t="shared" si="22"/>
        <v>0</v>
      </c>
      <c r="AV40" s="531">
        <f t="shared" si="23"/>
        <v>0</v>
      </c>
      <c r="AW40" s="531">
        <f t="shared" si="24"/>
        <v>0</v>
      </c>
      <c r="AX40" s="531">
        <f t="shared" si="25"/>
        <v>0</v>
      </c>
      <c r="AY40" s="531">
        <f t="shared" si="26"/>
        <v>0</v>
      </c>
      <c r="AZ40" s="510">
        <f t="shared" si="27"/>
        <v>6594.71</v>
      </c>
      <c r="BA40" s="643"/>
    </row>
    <row r="41" spans="1:53" x14ac:dyDescent="0.2">
      <c r="A41" s="480">
        <v>41</v>
      </c>
      <c r="B41" s="637">
        <f t="shared" si="3"/>
        <v>34</v>
      </c>
      <c r="C41" s="672" t="s">
        <v>302</v>
      </c>
      <c r="D41" s="516">
        <v>618.17999999999995</v>
      </c>
      <c r="E41" s="517">
        <v>772.73</v>
      </c>
      <c r="F41" s="517">
        <v>788.18</v>
      </c>
      <c r="G41" s="518">
        <v>888.64</v>
      </c>
      <c r="H41" s="518">
        <v>1066.3599999999999</v>
      </c>
      <c r="I41" s="519">
        <v>1354.61</v>
      </c>
      <c r="J41" s="520">
        <v>1599.54</v>
      </c>
      <c r="K41" s="521">
        <v>2167.37</v>
      </c>
      <c r="L41" s="522">
        <v>2599.25</v>
      </c>
      <c r="M41" s="523">
        <v>3251.05</v>
      </c>
      <c r="N41" s="522">
        <v>4028.84</v>
      </c>
      <c r="O41" s="524">
        <v>4551.47</v>
      </c>
      <c r="P41" s="525">
        <v>6486.43</v>
      </c>
      <c r="Q41" s="525">
        <v>6486.43</v>
      </c>
      <c r="R41" s="525">
        <v>2</v>
      </c>
      <c r="S41" s="525">
        <v>3</v>
      </c>
      <c r="T41" s="525">
        <v>4</v>
      </c>
      <c r="U41" s="525">
        <v>5</v>
      </c>
      <c r="V41" s="525">
        <v>6</v>
      </c>
      <c r="W41" s="525">
        <v>7</v>
      </c>
      <c r="X41" s="525">
        <v>8</v>
      </c>
      <c r="Y41" s="525">
        <v>9</v>
      </c>
      <c r="Z41" s="525">
        <v>10</v>
      </c>
      <c r="AA41" s="525">
        <v>11</v>
      </c>
      <c r="AB41" s="526">
        <f t="shared" si="4"/>
        <v>0</v>
      </c>
      <c r="AC41" s="527">
        <f t="shared" si="5"/>
        <v>0</v>
      </c>
      <c r="AD41" s="527">
        <f t="shared" si="6"/>
        <v>0</v>
      </c>
      <c r="AE41" s="528">
        <f t="shared" ref="AE41:AE72" si="28">(G41*$AE$5)</f>
        <v>0</v>
      </c>
      <c r="AF41" s="528">
        <f t="shared" si="7"/>
        <v>0</v>
      </c>
      <c r="AG41" s="528">
        <f t="shared" si="8"/>
        <v>0</v>
      </c>
      <c r="AH41" s="529">
        <f t="shared" si="9"/>
        <v>0</v>
      </c>
      <c r="AI41" s="530">
        <f t="shared" si="10"/>
        <v>0</v>
      </c>
      <c r="AJ41" s="530">
        <f t="shared" si="11"/>
        <v>0</v>
      </c>
      <c r="AK41" s="530">
        <f t="shared" si="12"/>
        <v>0</v>
      </c>
      <c r="AL41" s="530">
        <f t="shared" si="13"/>
        <v>0</v>
      </c>
      <c r="AM41" s="530">
        <f t="shared" si="14"/>
        <v>0</v>
      </c>
      <c r="AN41" s="531">
        <f t="shared" si="15"/>
        <v>0</v>
      </c>
      <c r="AO41" s="531">
        <f t="shared" si="16"/>
        <v>6486.43</v>
      </c>
      <c r="AP41" s="531">
        <f t="shared" si="17"/>
        <v>0</v>
      </c>
      <c r="AQ41" s="531">
        <f t="shared" si="18"/>
        <v>0</v>
      </c>
      <c r="AR41" s="531">
        <f t="shared" si="19"/>
        <v>0</v>
      </c>
      <c r="AS41" s="531">
        <f t="shared" si="20"/>
        <v>0</v>
      </c>
      <c r="AT41" s="531">
        <f t="shared" si="21"/>
        <v>0</v>
      </c>
      <c r="AU41" s="531">
        <f t="shared" si="22"/>
        <v>0</v>
      </c>
      <c r="AV41" s="531">
        <f t="shared" si="23"/>
        <v>0</v>
      </c>
      <c r="AW41" s="531">
        <f t="shared" si="24"/>
        <v>0</v>
      </c>
      <c r="AX41" s="531">
        <f t="shared" si="25"/>
        <v>0</v>
      </c>
      <c r="AY41" s="531">
        <f t="shared" si="26"/>
        <v>0</v>
      </c>
      <c r="AZ41" s="510">
        <f t="shared" si="27"/>
        <v>6486.43</v>
      </c>
      <c r="BA41" s="643"/>
    </row>
    <row r="42" spans="1:53" x14ac:dyDescent="0.2">
      <c r="A42" s="480">
        <v>42</v>
      </c>
      <c r="B42" s="637">
        <f t="shared" si="3"/>
        <v>35</v>
      </c>
      <c r="C42" s="672" t="s">
        <v>303</v>
      </c>
      <c r="D42" s="516">
        <v>755.02</v>
      </c>
      <c r="E42" s="517">
        <v>943.78</v>
      </c>
      <c r="F42" s="517">
        <v>962.66</v>
      </c>
      <c r="G42" s="518">
        <v>1085.3499999999999</v>
      </c>
      <c r="H42" s="518">
        <v>1302.4100000000001</v>
      </c>
      <c r="I42" s="519">
        <v>1354.61</v>
      </c>
      <c r="J42" s="520">
        <v>1953.61</v>
      </c>
      <c r="K42" s="521">
        <v>2442.02</v>
      </c>
      <c r="L42" s="522">
        <v>3174.62</v>
      </c>
      <c r="M42" s="523">
        <v>3251.05</v>
      </c>
      <c r="N42" s="522">
        <v>4920.67</v>
      </c>
      <c r="O42" s="524">
        <v>4920.67</v>
      </c>
      <c r="P42" s="525">
        <v>7922.28</v>
      </c>
      <c r="Q42" s="525">
        <v>7922.28</v>
      </c>
      <c r="R42" s="525">
        <v>2</v>
      </c>
      <c r="S42" s="525">
        <v>3</v>
      </c>
      <c r="T42" s="525">
        <v>4</v>
      </c>
      <c r="U42" s="525">
        <v>5</v>
      </c>
      <c r="V42" s="525">
        <v>6</v>
      </c>
      <c r="W42" s="525">
        <v>7</v>
      </c>
      <c r="X42" s="525">
        <v>8</v>
      </c>
      <c r="Y42" s="525">
        <v>9</v>
      </c>
      <c r="Z42" s="525">
        <v>10</v>
      </c>
      <c r="AA42" s="525">
        <v>11</v>
      </c>
      <c r="AB42" s="526">
        <f t="shared" si="4"/>
        <v>0</v>
      </c>
      <c r="AC42" s="527">
        <f t="shared" si="5"/>
        <v>0</v>
      </c>
      <c r="AD42" s="527">
        <f t="shared" si="6"/>
        <v>0</v>
      </c>
      <c r="AE42" s="528">
        <f t="shared" si="28"/>
        <v>0</v>
      </c>
      <c r="AF42" s="528">
        <f t="shared" si="7"/>
        <v>0</v>
      </c>
      <c r="AG42" s="528">
        <f t="shared" si="8"/>
        <v>0</v>
      </c>
      <c r="AH42" s="529">
        <f t="shared" si="9"/>
        <v>0</v>
      </c>
      <c r="AI42" s="530">
        <f t="shared" si="10"/>
        <v>0</v>
      </c>
      <c r="AJ42" s="530">
        <f t="shared" si="11"/>
        <v>0</v>
      </c>
      <c r="AK42" s="530">
        <f t="shared" si="12"/>
        <v>0</v>
      </c>
      <c r="AL42" s="530">
        <f t="shared" si="13"/>
        <v>0</v>
      </c>
      <c r="AM42" s="530">
        <f t="shared" si="14"/>
        <v>0</v>
      </c>
      <c r="AN42" s="531">
        <f t="shared" si="15"/>
        <v>0</v>
      </c>
      <c r="AO42" s="531">
        <f t="shared" si="16"/>
        <v>7922.28</v>
      </c>
      <c r="AP42" s="531">
        <f t="shared" si="17"/>
        <v>0</v>
      </c>
      <c r="AQ42" s="531">
        <f t="shared" si="18"/>
        <v>0</v>
      </c>
      <c r="AR42" s="531">
        <f t="shared" si="19"/>
        <v>0</v>
      </c>
      <c r="AS42" s="531">
        <f t="shared" si="20"/>
        <v>0</v>
      </c>
      <c r="AT42" s="531">
        <f t="shared" si="21"/>
        <v>0</v>
      </c>
      <c r="AU42" s="531">
        <f t="shared" si="22"/>
        <v>0</v>
      </c>
      <c r="AV42" s="531">
        <f t="shared" si="23"/>
        <v>0</v>
      </c>
      <c r="AW42" s="531">
        <f t="shared" si="24"/>
        <v>0</v>
      </c>
      <c r="AX42" s="531">
        <f t="shared" si="25"/>
        <v>0</v>
      </c>
      <c r="AY42" s="531">
        <f t="shared" si="26"/>
        <v>0</v>
      </c>
      <c r="AZ42" s="510">
        <f t="shared" si="27"/>
        <v>7922.28</v>
      </c>
      <c r="BA42" s="643"/>
    </row>
    <row r="43" spans="1:53" x14ac:dyDescent="0.2">
      <c r="A43" s="480">
        <v>43</v>
      </c>
      <c r="B43" s="637">
        <f t="shared" si="3"/>
        <v>36</v>
      </c>
      <c r="C43" s="672" t="s">
        <v>304</v>
      </c>
      <c r="D43" s="516">
        <v>675.06</v>
      </c>
      <c r="E43" s="517">
        <v>843.83</v>
      </c>
      <c r="F43" s="517">
        <v>860.71</v>
      </c>
      <c r="G43" s="518">
        <v>970.4</v>
      </c>
      <c r="H43" s="518">
        <v>1164.48</v>
      </c>
      <c r="I43" s="519">
        <v>1354.61</v>
      </c>
      <c r="J43" s="520">
        <v>1746.72</v>
      </c>
      <c r="K43" s="521">
        <v>2183.4</v>
      </c>
      <c r="L43" s="522">
        <v>2838.42</v>
      </c>
      <c r="M43" s="523">
        <v>3251.05</v>
      </c>
      <c r="N43" s="522">
        <v>4399.55</v>
      </c>
      <c r="O43" s="524">
        <v>4551.47</v>
      </c>
      <c r="P43" s="525">
        <v>7083.28</v>
      </c>
      <c r="Q43" s="525">
        <v>7083.28</v>
      </c>
      <c r="R43" s="525">
        <v>2</v>
      </c>
      <c r="S43" s="525">
        <v>3</v>
      </c>
      <c r="T43" s="525">
        <v>4</v>
      </c>
      <c r="U43" s="525">
        <v>5</v>
      </c>
      <c r="V43" s="525">
        <v>6</v>
      </c>
      <c r="W43" s="525">
        <v>7</v>
      </c>
      <c r="X43" s="525">
        <v>8</v>
      </c>
      <c r="Y43" s="525">
        <v>9</v>
      </c>
      <c r="Z43" s="525">
        <v>10</v>
      </c>
      <c r="AA43" s="525">
        <v>11</v>
      </c>
      <c r="AB43" s="526">
        <f t="shared" si="4"/>
        <v>0</v>
      </c>
      <c r="AC43" s="527">
        <f t="shared" si="5"/>
        <v>0</v>
      </c>
      <c r="AD43" s="527">
        <f t="shared" si="6"/>
        <v>0</v>
      </c>
      <c r="AE43" s="528">
        <f t="shared" si="28"/>
        <v>0</v>
      </c>
      <c r="AF43" s="528">
        <f t="shared" si="7"/>
        <v>0</v>
      </c>
      <c r="AG43" s="528">
        <f t="shared" si="8"/>
        <v>0</v>
      </c>
      <c r="AH43" s="529">
        <f t="shared" si="9"/>
        <v>0</v>
      </c>
      <c r="AI43" s="530">
        <f t="shared" si="10"/>
        <v>0</v>
      </c>
      <c r="AJ43" s="530">
        <f t="shared" si="11"/>
        <v>0</v>
      </c>
      <c r="AK43" s="530">
        <f t="shared" si="12"/>
        <v>0</v>
      </c>
      <c r="AL43" s="530">
        <f t="shared" si="13"/>
        <v>0</v>
      </c>
      <c r="AM43" s="530">
        <f t="shared" si="14"/>
        <v>0</v>
      </c>
      <c r="AN43" s="531">
        <f t="shared" si="15"/>
        <v>0</v>
      </c>
      <c r="AO43" s="531">
        <f t="shared" si="16"/>
        <v>7083.28</v>
      </c>
      <c r="AP43" s="531">
        <f t="shared" si="17"/>
        <v>0</v>
      </c>
      <c r="AQ43" s="531">
        <f t="shared" si="18"/>
        <v>0</v>
      </c>
      <c r="AR43" s="531">
        <f t="shared" si="19"/>
        <v>0</v>
      </c>
      <c r="AS43" s="531">
        <f t="shared" si="20"/>
        <v>0</v>
      </c>
      <c r="AT43" s="531">
        <f t="shared" si="21"/>
        <v>0</v>
      </c>
      <c r="AU43" s="531">
        <f t="shared" si="22"/>
        <v>0</v>
      </c>
      <c r="AV43" s="531">
        <f t="shared" si="23"/>
        <v>0</v>
      </c>
      <c r="AW43" s="531">
        <f t="shared" si="24"/>
        <v>0</v>
      </c>
      <c r="AX43" s="531">
        <f t="shared" si="25"/>
        <v>0</v>
      </c>
      <c r="AY43" s="531">
        <f t="shared" si="26"/>
        <v>0</v>
      </c>
      <c r="AZ43" s="510">
        <f t="shared" si="27"/>
        <v>7083.28</v>
      </c>
      <c r="BA43" s="643"/>
    </row>
    <row r="44" spans="1:53" x14ac:dyDescent="0.2">
      <c r="A44" s="480">
        <v>44</v>
      </c>
      <c r="B44" s="637">
        <f t="shared" si="3"/>
        <v>37</v>
      </c>
      <c r="C44" s="672" t="s">
        <v>305</v>
      </c>
      <c r="D44" s="516">
        <v>675.06</v>
      </c>
      <c r="E44" s="517">
        <v>843.83</v>
      </c>
      <c r="F44" s="517">
        <v>860.71</v>
      </c>
      <c r="G44" s="518">
        <v>970.4</v>
      </c>
      <c r="H44" s="518">
        <v>1164.48</v>
      </c>
      <c r="I44" s="519">
        <v>1354.61</v>
      </c>
      <c r="J44" s="520">
        <v>1746.72</v>
      </c>
      <c r="K44" s="521">
        <v>2183.4</v>
      </c>
      <c r="L44" s="522">
        <v>2838.42</v>
      </c>
      <c r="M44" s="523">
        <v>3251.05</v>
      </c>
      <c r="N44" s="522">
        <v>4399.55</v>
      </c>
      <c r="O44" s="524">
        <v>4551.47</v>
      </c>
      <c r="P44" s="525">
        <v>7083.28</v>
      </c>
      <c r="Q44" s="525">
        <v>7083.28</v>
      </c>
      <c r="R44" s="525">
        <v>2</v>
      </c>
      <c r="S44" s="525">
        <v>3</v>
      </c>
      <c r="T44" s="525">
        <v>4</v>
      </c>
      <c r="U44" s="525">
        <v>5</v>
      </c>
      <c r="V44" s="525">
        <v>6</v>
      </c>
      <c r="W44" s="525">
        <v>7</v>
      </c>
      <c r="X44" s="525">
        <v>8</v>
      </c>
      <c r="Y44" s="525">
        <v>9</v>
      </c>
      <c r="Z44" s="525">
        <v>10</v>
      </c>
      <c r="AA44" s="525">
        <v>11</v>
      </c>
      <c r="AB44" s="526">
        <f t="shared" si="4"/>
        <v>0</v>
      </c>
      <c r="AC44" s="527">
        <f t="shared" si="5"/>
        <v>0</v>
      </c>
      <c r="AD44" s="527">
        <f t="shared" si="6"/>
        <v>0</v>
      </c>
      <c r="AE44" s="528">
        <f t="shared" si="28"/>
        <v>0</v>
      </c>
      <c r="AF44" s="528">
        <f t="shared" si="7"/>
        <v>0</v>
      </c>
      <c r="AG44" s="528">
        <f t="shared" si="8"/>
        <v>0</v>
      </c>
      <c r="AH44" s="529">
        <f t="shared" si="9"/>
        <v>0</v>
      </c>
      <c r="AI44" s="530">
        <f t="shared" si="10"/>
        <v>0</v>
      </c>
      <c r="AJ44" s="530">
        <f t="shared" si="11"/>
        <v>0</v>
      </c>
      <c r="AK44" s="530">
        <f t="shared" si="12"/>
        <v>0</v>
      </c>
      <c r="AL44" s="530">
        <f t="shared" si="13"/>
        <v>0</v>
      </c>
      <c r="AM44" s="530">
        <f t="shared" si="14"/>
        <v>0</v>
      </c>
      <c r="AN44" s="531">
        <f t="shared" si="15"/>
        <v>0</v>
      </c>
      <c r="AO44" s="531">
        <f t="shared" si="16"/>
        <v>7083.28</v>
      </c>
      <c r="AP44" s="531">
        <f t="shared" si="17"/>
        <v>0</v>
      </c>
      <c r="AQ44" s="531">
        <f t="shared" si="18"/>
        <v>0</v>
      </c>
      <c r="AR44" s="531">
        <f t="shared" si="19"/>
        <v>0</v>
      </c>
      <c r="AS44" s="531">
        <f t="shared" si="20"/>
        <v>0</v>
      </c>
      <c r="AT44" s="531">
        <f t="shared" si="21"/>
        <v>0</v>
      </c>
      <c r="AU44" s="531">
        <f t="shared" si="22"/>
        <v>0</v>
      </c>
      <c r="AV44" s="531">
        <f t="shared" si="23"/>
        <v>0</v>
      </c>
      <c r="AW44" s="531">
        <f t="shared" si="24"/>
        <v>0</v>
      </c>
      <c r="AX44" s="531">
        <f t="shared" si="25"/>
        <v>0</v>
      </c>
      <c r="AY44" s="531">
        <f t="shared" si="26"/>
        <v>0</v>
      </c>
      <c r="AZ44" s="510">
        <f t="shared" si="27"/>
        <v>7083.28</v>
      </c>
      <c r="BA44" s="643"/>
    </row>
    <row r="45" spans="1:53" x14ac:dyDescent="0.2">
      <c r="A45" s="480">
        <v>45</v>
      </c>
      <c r="B45" s="637">
        <f t="shared" si="3"/>
        <v>38</v>
      </c>
      <c r="C45" s="672" t="s">
        <v>306</v>
      </c>
      <c r="D45" s="516">
        <v>755.02</v>
      </c>
      <c r="E45" s="517">
        <v>943.78</v>
      </c>
      <c r="F45" s="517">
        <v>962.66</v>
      </c>
      <c r="G45" s="518">
        <v>1085.3499999999999</v>
      </c>
      <c r="H45" s="518">
        <v>1302.4100000000001</v>
      </c>
      <c r="I45" s="519">
        <v>1354.61</v>
      </c>
      <c r="J45" s="520">
        <v>1953.61</v>
      </c>
      <c r="K45" s="521">
        <v>2442.02</v>
      </c>
      <c r="L45" s="522">
        <v>3174.62</v>
      </c>
      <c r="M45" s="523">
        <v>3251.05</v>
      </c>
      <c r="N45" s="522">
        <v>4920.67</v>
      </c>
      <c r="O45" s="524">
        <v>4920.67</v>
      </c>
      <c r="P45" s="525">
        <v>7922.28</v>
      </c>
      <c r="Q45" s="525">
        <v>7922.28</v>
      </c>
      <c r="R45" s="525">
        <v>2</v>
      </c>
      <c r="S45" s="525">
        <v>3</v>
      </c>
      <c r="T45" s="525">
        <v>4</v>
      </c>
      <c r="U45" s="525">
        <v>5</v>
      </c>
      <c r="V45" s="525">
        <v>6</v>
      </c>
      <c r="W45" s="525">
        <v>7</v>
      </c>
      <c r="X45" s="525">
        <v>8</v>
      </c>
      <c r="Y45" s="525">
        <v>9</v>
      </c>
      <c r="Z45" s="525">
        <v>10</v>
      </c>
      <c r="AA45" s="525">
        <v>11</v>
      </c>
      <c r="AB45" s="526">
        <f t="shared" si="4"/>
        <v>0</v>
      </c>
      <c r="AC45" s="527">
        <f t="shared" si="5"/>
        <v>0</v>
      </c>
      <c r="AD45" s="527">
        <f t="shared" si="6"/>
        <v>0</v>
      </c>
      <c r="AE45" s="528">
        <f t="shared" si="28"/>
        <v>0</v>
      </c>
      <c r="AF45" s="528">
        <f t="shared" si="7"/>
        <v>0</v>
      </c>
      <c r="AG45" s="528">
        <f t="shared" si="8"/>
        <v>0</v>
      </c>
      <c r="AH45" s="529">
        <f t="shared" si="9"/>
        <v>0</v>
      </c>
      <c r="AI45" s="530">
        <f t="shared" si="10"/>
        <v>0</v>
      </c>
      <c r="AJ45" s="530">
        <f t="shared" si="11"/>
        <v>0</v>
      </c>
      <c r="AK45" s="530">
        <f t="shared" si="12"/>
        <v>0</v>
      </c>
      <c r="AL45" s="530">
        <f t="shared" si="13"/>
        <v>0</v>
      </c>
      <c r="AM45" s="530">
        <f t="shared" si="14"/>
        <v>0</v>
      </c>
      <c r="AN45" s="531">
        <f t="shared" si="15"/>
        <v>0</v>
      </c>
      <c r="AO45" s="531">
        <f t="shared" si="16"/>
        <v>7922.28</v>
      </c>
      <c r="AP45" s="531">
        <f t="shared" si="17"/>
        <v>0</v>
      </c>
      <c r="AQ45" s="531">
        <f t="shared" si="18"/>
        <v>0</v>
      </c>
      <c r="AR45" s="531">
        <f t="shared" si="19"/>
        <v>0</v>
      </c>
      <c r="AS45" s="531">
        <f t="shared" si="20"/>
        <v>0</v>
      </c>
      <c r="AT45" s="531">
        <f t="shared" si="21"/>
        <v>0</v>
      </c>
      <c r="AU45" s="531">
        <f t="shared" si="22"/>
        <v>0</v>
      </c>
      <c r="AV45" s="531">
        <f t="shared" si="23"/>
        <v>0</v>
      </c>
      <c r="AW45" s="531">
        <f t="shared" si="24"/>
        <v>0</v>
      </c>
      <c r="AX45" s="531">
        <f t="shared" si="25"/>
        <v>0</v>
      </c>
      <c r="AY45" s="531">
        <f t="shared" si="26"/>
        <v>0</v>
      </c>
      <c r="AZ45" s="510">
        <f t="shared" si="27"/>
        <v>7922.28</v>
      </c>
      <c r="BA45" s="643"/>
    </row>
    <row r="46" spans="1:53" x14ac:dyDescent="0.2">
      <c r="A46" s="480">
        <v>46</v>
      </c>
      <c r="B46" s="637">
        <f t="shared" si="3"/>
        <v>39</v>
      </c>
      <c r="C46" s="672" t="s">
        <v>307</v>
      </c>
      <c r="D46" s="516">
        <v>675.06</v>
      </c>
      <c r="E46" s="517">
        <v>843.83</v>
      </c>
      <c r="F46" s="517">
        <v>860.71</v>
      </c>
      <c r="G46" s="518">
        <v>970.4</v>
      </c>
      <c r="H46" s="518">
        <v>1164.48</v>
      </c>
      <c r="I46" s="519">
        <v>1354.61</v>
      </c>
      <c r="J46" s="520">
        <v>1746.72</v>
      </c>
      <c r="K46" s="521">
        <v>2183.4</v>
      </c>
      <c r="L46" s="522">
        <v>2838.42</v>
      </c>
      <c r="M46" s="523">
        <v>3251.05</v>
      </c>
      <c r="N46" s="522">
        <v>4399.55</v>
      </c>
      <c r="O46" s="524">
        <v>4551.47</v>
      </c>
      <c r="P46" s="525">
        <v>7083.28</v>
      </c>
      <c r="Q46" s="525">
        <v>7083.28</v>
      </c>
      <c r="R46" s="525">
        <v>2</v>
      </c>
      <c r="S46" s="525">
        <v>3</v>
      </c>
      <c r="T46" s="525">
        <v>4</v>
      </c>
      <c r="U46" s="525">
        <v>5</v>
      </c>
      <c r="V46" s="525">
        <v>6</v>
      </c>
      <c r="W46" s="525">
        <v>7</v>
      </c>
      <c r="X46" s="525">
        <v>8</v>
      </c>
      <c r="Y46" s="525">
        <v>9</v>
      </c>
      <c r="Z46" s="525">
        <v>10</v>
      </c>
      <c r="AA46" s="525">
        <v>11</v>
      </c>
      <c r="AB46" s="526">
        <f t="shared" si="4"/>
        <v>0</v>
      </c>
      <c r="AC46" s="527">
        <f t="shared" si="5"/>
        <v>0</v>
      </c>
      <c r="AD46" s="527">
        <f t="shared" si="6"/>
        <v>0</v>
      </c>
      <c r="AE46" s="528">
        <f t="shared" si="28"/>
        <v>0</v>
      </c>
      <c r="AF46" s="528">
        <f t="shared" si="7"/>
        <v>0</v>
      </c>
      <c r="AG46" s="528">
        <f t="shared" si="8"/>
        <v>0</v>
      </c>
      <c r="AH46" s="529">
        <f t="shared" si="9"/>
        <v>0</v>
      </c>
      <c r="AI46" s="530">
        <f t="shared" si="10"/>
        <v>0</v>
      </c>
      <c r="AJ46" s="530">
        <f t="shared" si="11"/>
        <v>0</v>
      </c>
      <c r="AK46" s="530">
        <f t="shared" si="12"/>
        <v>0</v>
      </c>
      <c r="AL46" s="530">
        <f t="shared" si="13"/>
        <v>0</v>
      </c>
      <c r="AM46" s="530">
        <f t="shared" si="14"/>
        <v>0</v>
      </c>
      <c r="AN46" s="531">
        <f t="shared" si="15"/>
        <v>0</v>
      </c>
      <c r="AO46" s="531">
        <f t="shared" si="16"/>
        <v>7083.28</v>
      </c>
      <c r="AP46" s="531">
        <f t="shared" si="17"/>
        <v>0</v>
      </c>
      <c r="AQ46" s="531">
        <f t="shared" si="18"/>
        <v>0</v>
      </c>
      <c r="AR46" s="531">
        <f t="shared" si="19"/>
        <v>0</v>
      </c>
      <c r="AS46" s="531">
        <f t="shared" si="20"/>
        <v>0</v>
      </c>
      <c r="AT46" s="531">
        <f t="shared" si="21"/>
        <v>0</v>
      </c>
      <c r="AU46" s="531">
        <f t="shared" si="22"/>
        <v>0</v>
      </c>
      <c r="AV46" s="531">
        <f t="shared" si="23"/>
        <v>0</v>
      </c>
      <c r="AW46" s="531">
        <f t="shared" si="24"/>
        <v>0</v>
      </c>
      <c r="AX46" s="531">
        <f t="shared" si="25"/>
        <v>0</v>
      </c>
      <c r="AY46" s="531">
        <f t="shared" si="26"/>
        <v>0</v>
      </c>
      <c r="AZ46" s="510">
        <f t="shared" si="27"/>
        <v>7083.28</v>
      </c>
      <c r="BA46" s="643"/>
    </row>
    <row r="47" spans="1:53" x14ac:dyDescent="0.2">
      <c r="A47" s="480">
        <v>47</v>
      </c>
      <c r="B47" s="637">
        <f t="shared" si="3"/>
        <v>40</v>
      </c>
      <c r="C47" s="672" t="s">
        <v>308</v>
      </c>
      <c r="D47" s="516">
        <v>755.02</v>
      </c>
      <c r="E47" s="517">
        <v>943.78</v>
      </c>
      <c r="F47" s="517">
        <v>962.66</v>
      </c>
      <c r="G47" s="518">
        <v>1085.3499999999999</v>
      </c>
      <c r="H47" s="518">
        <v>1302.4100000000001</v>
      </c>
      <c r="I47" s="519">
        <v>1354.61</v>
      </c>
      <c r="J47" s="520">
        <v>1953.61</v>
      </c>
      <c r="K47" s="521">
        <v>2442.02</v>
      </c>
      <c r="L47" s="522">
        <v>3174.62</v>
      </c>
      <c r="M47" s="523">
        <v>3251.05</v>
      </c>
      <c r="N47" s="522">
        <v>4920.67</v>
      </c>
      <c r="O47" s="524">
        <v>4920.67</v>
      </c>
      <c r="P47" s="525">
        <v>7922.28</v>
      </c>
      <c r="Q47" s="525">
        <v>7922.28</v>
      </c>
      <c r="R47" s="525">
        <v>2</v>
      </c>
      <c r="S47" s="525">
        <v>3</v>
      </c>
      <c r="T47" s="525">
        <v>4</v>
      </c>
      <c r="U47" s="525">
        <v>5</v>
      </c>
      <c r="V47" s="525">
        <v>6</v>
      </c>
      <c r="W47" s="525">
        <v>7</v>
      </c>
      <c r="X47" s="525">
        <v>8</v>
      </c>
      <c r="Y47" s="525">
        <v>9</v>
      </c>
      <c r="Z47" s="525">
        <v>10</v>
      </c>
      <c r="AA47" s="525">
        <v>11</v>
      </c>
      <c r="AB47" s="526">
        <f t="shared" si="4"/>
        <v>0</v>
      </c>
      <c r="AC47" s="527">
        <f t="shared" si="5"/>
        <v>0</v>
      </c>
      <c r="AD47" s="527">
        <f t="shared" si="6"/>
        <v>0</v>
      </c>
      <c r="AE47" s="528">
        <f t="shared" si="28"/>
        <v>0</v>
      </c>
      <c r="AF47" s="528">
        <f t="shared" si="7"/>
        <v>0</v>
      </c>
      <c r="AG47" s="528">
        <f t="shared" si="8"/>
        <v>0</v>
      </c>
      <c r="AH47" s="529">
        <f t="shared" si="9"/>
        <v>0</v>
      </c>
      <c r="AI47" s="530">
        <f t="shared" si="10"/>
        <v>0</v>
      </c>
      <c r="AJ47" s="530">
        <f t="shared" si="11"/>
        <v>0</v>
      </c>
      <c r="AK47" s="530">
        <f t="shared" si="12"/>
        <v>0</v>
      </c>
      <c r="AL47" s="530">
        <f t="shared" si="13"/>
        <v>0</v>
      </c>
      <c r="AM47" s="530">
        <f t="shared" si="14"/>
        <v>0</v>
      </c>
      <c r="AN47" s="531">
        <f t="shared" si="15"/>
        <v>0</v>
      </c>
      <c r="AO47" s="531">
        <f t="shared" si="16"/>
        <v>7922.28</v>
      </c>
      <c r="AP47" s="531">
        <f t="shared" si="17"/>
        <v>0</v>
      </c>
      <c r="AQ47" s="531">
        <f t="shared" si="18"/>
        <v>0</v>
      </c>
      <c r="AR47" s="531">
        <f t="shared" si="19"/>
        <v>0</v>
      </c>
      <c r="AS47" s="531">
        <f t="shared" si="20"/>
        <v>0</v>
      </c>
      <c r="AT47" s="531">
        <f t="shared" si="21"/>
        <v>0</v>
      </c>
      <c r="AU47" s="531">
        <f t="shared" si="22"/>
        <v>0</v>
      </c>
      <c r="AV47" s="531">
        <f t="shared" si="23"/>
        <v>0</v>
      </c>
      <c r="AW47" s="531">
        <f t="shared" si="24"/>
        <v>0</v>
      </c>
      <c r="AX47" s="531">
        <f t="shared" si="25"/>
        <v>0</v>
      </c>
      <c r="AY47" s="531">
        <f t="shared" si="26"/>
        <v>0</v>
      </c>
      <c r="AZ47" s="510">
        <f t="shared" si="27"/>
        <v>7922.28</v>
      </c>
      <c r="BA47" s="643"/>
    </row>
    <row r="48" spans="1:53" x14ac:dyDescent="0.2">
      <c r="A48" s="480">
        <v>48</v>
      </c>
      <c r="B48" s="637">
        <f t="shared" si="3"/>
        <v>41</v>
      </c>
      <c r="C48" s="672" t="s">
        <v>309</v>
      </c>
      <c r="D48" s="516">
        <v>675.06</v>
      </c>
      <c r="E48" s="517">
        <v>843.83</v>
      </c>
      <c r="F48" s="517">
        <v>860.71</v>
      </c>
      <c r="G48" s="518">
        <v>970.4</v>
      </c>
      <c r="H48" s="518">
        <v>1164.48</v>
      </c>
      <c r="I48" s="519">
        <v>1354.61</v>
      </c>
      <c r="J48" s="520">
        <v>1746.72</v>
      </c>
      <c r="K48" s="521">
        <v>2183.4</v>
      </c>
      <c r="L48" s="522">
        <v>2838.42</v>
      </c>
      <c r="M48" s="523">
        <v>3251.05</v>
      </c>
      <c r="N48" s="522">
        <v>4399.55</v>
      </c>
      <c r="O48" s="524">
        <v>4551.47</v>
      </c>
      <c r="P48" s="525">
        <v>7083.28</v>
      </c>
      <c r="Q48" s="525">
        <v>7083.28</v>
      </c>
      <c r="R48" s="525">
        <v>2</v>
      </c>
      <c r="S48" s="525">
        <v>3</v>
      </c>
      <c r="T48" s="525">
        <v>4</v>
      </c>
      <c r="U48" s="525">
        <v>5</v>
      </c>
      <c r="V48" s="525">
        <v>6</v>
      </c>
      <c r="W48" s="525">
        <v>7</v>
      </c>
      <c r="X48" s="525">
        <v>8</v>
      </c>
      <c r="Y48" s="525">
        <v>9</v>
      </c>
      <c r="Z48" s="525">
        <v>10</v>
      </c>
      <c r="AA48" s="525">
        <v>11</v>
      </c>
      <c r="AB48" s="526">
        <f t="shared" si="4"/>
        <v>0</v>
      </c>
      <c r="AC48" s="527">
        <f t="shared" si="5"/>
        <v>0</v>
      </c>
      <c r="AD48" s="527">
        <f t="shared" si="6"/>
        <v>0</v>
      </c>
      <c r="AE48" s="528">
        <f t="shared" si="28"/>
        <v>0</v>
      </c>
      <c r="AF48" s="528">
        <f t="shared" si="7"/>
        <v>0</v>
      </c>
      <c r="AG48" s="528">
        <f t="shared" si="8"/>
        <v>0</v>
      </c>
      <c r="AH48" s="529">
        <f t="shared" si="9"/>
        <v>0</v>
      </c>
      <c r="AI48" s="530">
        <f t="shared" si="10"/>
        <v>0</v>
      </c>
      <c r="AJ48" s="530">
        <f t="shared" si="11"/>
        <v>0</v>
      </c>
      <c r="AK48" s="530">
        <f t="shared" si="12"/>
        <v>0</v>
      </c>
      <c r="AL48" s="530">
        <f t="shared" si="13"/>
        <v>0</v>
      </c>
      <c r="AM48" s="530">
        <f t="shared" si="14"/>
        <v>0</v>
      </c>
      <c r="AN48" s="531">
        <f t="shared" si="15"/>
        <v>0</v>
      </c>
      <c r="AO48" s="531">
        <f t="shared" si="16"/>
        <v>7083.28</v>
      </c>
      <c r="AP48" s="531">
        <f t="shared" si="17"/>
        <v>0</v>
      </c>
      <c r="AQ48" s="531">
        <f t="shared" si="18"/>
        <v>0</v>
      </c>
      <c r="AR48" s="531">
        <f t="shared" si="19"/>
        <v>0</v>
      </c>
      <c r="AS48" s="531">
        <f t="shared" si="20"/>
        <v>0</v>
      </c>
      <c r="AT48" s="531">
        <f t="shared" si="21"/>
        <v>0</v>
      </c>
      <c r="AU48" s="531">
        <f t="shared" si="22"/>
        <v>0</v>
      </c>
      <c r="AV48" s="531">
        <f t="shared" si="23"/>
        <v>0</v>
      </c>
      <c r="AW48" s="531">
        <f t="shared" si="24"/>
        <v>0</v>
      </c>
      <c r="AX48" s="531">
        <f t="shared" si="25"/>
        <v>0</v>
      </c>
      <c r="AY48" s="531">
        <f t="shared" si="26"/>
        <v>0</v>
      </c>
      <c r="AZ48" s="510">
        <f t="shared" si="27"/>
        <v>7083.28</v>
      </c>
      <c r="BA48" s="643"/>
    </row>
    <row r="49" spans="1:53" x14ac:dyDescent="0.2">
      <c r="A49" s="480">
        <v>49</v>
      </c>
      <c r="B49" s="637">
        <f t="shared" si="3"/>
        <v>42</v>
      </c>
      <c r="C49" s="672" t="s">
        <v>310</v>
      </c>
      <c r="D49" s="516">
        <v>755.02</v>
      </c>
      <c r="E49" s="517">
        <v>943.78</v>
      </c>
      <c r="F49" s="517">
        <v>962.66</v>
      </c>
      <c r="G49" s="518">
        <v>1085.3499999999999</v>
      </c>
      <c r="H49" s="518">
        <v>1302.4100000000001</v>
      </c>
      <c r="I49" s="519">
        <v>1354.61</v>
      </c>
      <c r="J49" s="520">
        <v>1953.61</v>
      </c>
      <c r="K49" s="521">
        <v>2442.02</v>
      </c>
      <c r="L49" s="522">
        <v>3174.62</v>
      </c>
      <c r="M49" s="523">
        <v>3251.05</v>
      </c>
      <c r="N49" s="522">
        <v>4920.67</v>
      </c>
      <c r="O49" s="524">
        <v>4920.67</v>
      </c>
      <c r="P49" s="525">
        <v>7922.28</v>
      </c>
      <c r="Q49" s="525">
        <v>7922.28</v>
      </c>
      <c r="R49" s="525">
        <v>2</v>
      </c>
      <c r="S49" s="525">
        <v>3</v>
      </c>
      <c r="T49" s="525">
        <v>4</v>
      </c>
      <c r="U49" s="525">
        <v>5</v>
      </c>
      <c r="V49" s="525">
        <v>6</v>
      </c>
      <c r="W49" s="525">
        <v>7</v>
      </c>
      <c r="X49" s="525">
        <v>8</v>
      </c>
      <c r="Y49" s="525">
        <v>9</v>
      </c>
      <c r="Z49" s="525">
        <v>10</v>
      </c>
      <c r="AA49" s="525">
        <v>11</v>
      </c>
      <c r="AB49" s="526">
        <f t="shared" si="4"/>
        <v>0</v>
      </c>
      <c r="AC49" s="527">
        <f t="shared" si="5"/>
        <v>0</v>
      </c>
      <c r="AD49" s="527">
        <f t="shared" si="6"/>
        <v>0</v>
      </c>
      <c r="AE49" s="528">
        <f t="shared" si="28"/>
        <v>0</v>
      </c>
      <c r="AF49" s="528">
        <f t="shared" si="7"/>
        <v>0</v>
      </c>
      <c r="AG49" s="528">
        <f t="shared" si="8"/>
        <v>0</v>
      </c>
      <c r="AH49" s="529">
        <f t="shared" si="9"/>
        <v>0</v>
      </c>
      <c r="AI49" s="530">
        <f t="shared" si="10"/>
        <v>0</v>
      </c>
      <c r="AJ49" s="530">
        <f t="shared" si="11"/>
        <v>0</v>
      </c>
      <c r="AK49" s="530">
        <f t="shared" si="12"/>
        <v>0</v>
      </c>
      <c r="AL49" s="530">
        <f t="shared" si="13"/>
        <v>0</v>
      </c>
      <c r="AM49" s="530">
        <f t="shared" si="14"/>
        <v>0</v>
      </c>
      <c r="AN49" s="531">
        <f t="shared" si="15"/>
        <v>0</v>
      </c>
      <c r="AO49" s="531">
        <f t="shared" si="16"/>
        <v>7922.28</v>
      </c>
      <c r="AP49" s="531">
        <f t="shared" si="17"/>
        <v>0</v>
      </c>
      <c r="AQ49" s="531">
        <f t="shared" si="18"/>
        <v>0</v>
      </c>
      <c r="AR49" s="531">
        <f t="shared" si="19"/>
        <v>0</v>
      </c>
      <c r="AS49" s="531">
        <f t="shared" si="20"/>
        <v>0</v>
      </c>
      <c r="AT49" s="531">
        <f t="shared" si="21"/>
        <v>0</v>
      </c>
      <c r="AU49" s="531">
        <f t="shared" si="22"/>
        <v>0</v>
      </c>
      <c r="AV49" s="531">
        <f t="shared" si="23"/>
        <v>0</v>
      </c>
      <c r="AW49" s="531">
        <f t="shared" si="24"/>
        <v>0</v>
      </c>
      <c r="AX49" s="531">
        <f t="shared" si="25"/>
        <v>0</v>
      </c>
      <c r="AY49" s="531">
        <f t="shared" si="26"/>
        <v>0</v>
      </c>
      <c r="AZ49" s="510">
        <f t="shared" si="27"/>
        <v>7922.28</v>
      </c>
      <c r="BA49" s="643"/>
    </row>
    <row r="50" spans="1:53" x14ac:dyDescent="0.2">
      <c r="A50" s="480">
        <v>50</v>
      </c>
      <c r="B50" s="637">
        <f t="shared" si="3"/>
        <v>43</v>
      </c>
      <c r="C50" s="672" t="s">
        <v>311</v>
      </c>
      <c r="D50" s="516">
        <v>675.06</v>
      </c>
      <c r="E50" s="517">
        <v>843.83</v>
      </c>
      <c r="F50" s="517">
        <v>860.71</v>
      </c>
      <c r="G50" s="518">
        <v>970.4</v>
      </c>
      <c r="H50" s="518">
        <v>1164.48</v>
      </c>
      <c r="I50" s="519">
        <v>1354.61</v>
      </c>
      <c r="J50" s="520">
        <v>1746.72</v>
      </c>
      <c r="K50" s="521">
        <v>2183.4</v>
      </c>
      <c r="L50" s="522">
        <v>2838.42</v>
      </c>
      <c r="M50" s="523">
        <v>3251.05</v>
      </c>
      <c r="N50" s="522">
        <v>4399.55</v>
      </c>
      <c r="O50" s="524">
        <v>4551.47</v>
      </c>
      <c r="P50" s="525">
        <v>7083.28</v>
      </c>
      <c r="Q50" s="525">
        <v>7083.28</v>
      </c>
      <c r="R50" s="525">
        <v>2</v>
      </c>
      <c r="S50" s="525">
        <v>3</v>
      </c>
      <c r="T50" s="525">
        <v>4</v>
      </c>
      <c r="U50" s="525">
        <v>5</v>
      </c>
      <c r="V50" s="525">
        <v>6</v>
      </c>
      <c r="W50" s="525">
        <v>7</v>
      </c>
      <c r="X50" s="525">
        <v>8</v>
      </c>
      <c r="Y50" s="525">
        <v>9</v>
      </c>
      <c r="Z50" s="525">
        <v>10</v>
      </c>
      <c r="AA50" s="525">
        <v>11</v>
      </c>
      <c r="AB50" s="526">
        <f t="shared" si="4"/>
        <v>0</v>
      </c>
      <c r="AC50" s="527">
        <f t="shared" si="5"/>
        <v>0</v>
      </c>
      <c r="AD50" s="527">
        <f t="shared" si="6"/>
        <v>0</v>
      </c>
      <c r="AE50" s="528">
        <f t="shared" si="28"/>
        <v>0</v>
      </c>
      <c r="AF50" s="528">
        <f t="shared" si="7"/>
        <v>0</v>
      </c>
      <c r="AG50" s="528">
        <f t="shared" si="8"/>
        <v>0</v>
      </c>
      <c r="AH50" s="529">
        <f t="shared" si="9"/>
        <v>0</v>
      </c>
      <c r="AI50" s="530">
        <f t="shared" si="10"/>
        <v>0</v>
      </c>
      <c r="AJ50" s="530">
        <f t="shared" si="11"/>
        <v>0</v>
      </c>
      <c r="AK50" s="530">
        <f t="shared" si="12"/>
        <v>0</v>
      </c>
      <c r="AL50" s="530">
        <f t="shared" si="13"/>
        <v>0</v>
      </c>
      <c r="AM50" s="530">
        <f t="shared" si="14"/>
        <v>0</v>
      </c>
      <c r="AN50" s="531">
        <f t="shared" si="15"/>
        <v>0</v>
      </c>
      <c r="AO50" s="531">
        <f t="shared" si="16"/>
        <v>7083.28</v>
      </c>
      <c r="AP50" s="531">
        <f t="shared" si="17"/>
        <v>0</v>
      </c>
      <c r="AQ50" s="531">
        <f t="shared" si="18"/>
        <v>0</v>
      </c>
      <c r="AR50" s="531">
        <f t="shared" si="19"/>
        <v>0</v>
      </c>
      <c r="AS50" s="531">
        <f t="shared" si="20"/>
        <v>0</v>
      </c>
      <c r="AT50" s="531">
        <f t="shared" si="21"/>
        <v>0</v>
      </c>
      <c r="AU50" s="531">
        <f t="shared" si="22"/>
        <v>0</v>
      </c>
      <c r="AV50" s="531">
        <f t="shared" si="23"/>
        <v>0</v>
      </c>
      <c r="AW50" s="531">
        <f t="shared" si="24"/>
        <v>0</v>
      </c>
      <c r="AX50" s="531">
        <f t="shared" si="25"/>
        <v>0</v>
      </c>
      <c r="AY50" s="531">
        <f t="shared" si="26"/>
        <v>0</v>
      </c>
      <c r="AZ50" s="510">
        <f t="shared" si="27"/>
        <v>7083.28</v>
      </c>
      <c r="BA50" s="643"/>
    </row>
    <row r="51" spans="1:53" x14ac:dyDescent="0.2">
      <c r="A51" s="480">
        <v>51</v>
      </c>
      <c r="B51" s="637">
        <f t="shared" si="3"/>
        <v>44</v>
      </c>
      <c r="C51" s="672" t="s">
        <v>312</v>
      </c>
      <c r="D51" s="516">
        <v>755.02</v>
      </c>
      <c r="E51" s="517">
        <v>943.78</v>
      </c>
      <c r="F51" s="517">
        <v>962.66</v>
      </c>
      <c r="G51" s="518">
        <v>1085.3499999999999</v>
      </c>
      <c r="H51" s="518">
        <v>1302.4100000000001</v>
      </c>
      <c r="I51" s="519">
        <v>1354.61</v>
      </c>
      <c r="J51" s="520">
        <v>1953.61</v>
      </c>
      <c r="K51" s="521">
        <v>2442.02</v>
      </c>
      <c r="L51" s="522">
        <v>3174.62</v>
      </c>
      <c r="M51" s="523">
        <v>3251.05</v>
      </c>
      <c r="N51" s="522">
        <v>4920.67</v>
      </c>
      <c r="O51" s="524">
        <v>4920.67</v>
      </c>
      <c r="P51" s="525">
        <v>7922.28</v>
      </c>
      <c r="Q51" s="525">
        <v>7922.28</v>
      </c>
      <c r="R51" s="525">
        <v>2</v>
      </c>
      <c r="S51" s="525">
        <v>3</v>
      </c>
      <c r="T51" s="525">
        <v>4</v>
      </c>
      <c r="U51" s="525">
        <v>5</v>
      </c>
      <c r="V51" s="525">
        <v>6</v>
      </c>
      <c r="W51" s="525">
        <v>7</v>
      </c>
      <c r="X51" s="525">
        <v>8</v>
      </c>
      <c r="Y51" s="525">
        <v>9</v>
      </c>
      <c r="Z51" s="525">
        <v>10</v>
      </c>
      <c r="AA51" s="525">
        <v>11</v>
      </c>
      <c r="AB51" s="526">
        <f t="shared" si="4"/>
        <v>0</v>
      </c>
      <c r="AC51" s="527">
        <f t="shared" si="5"/>
        <v>0</v>
      </c>
      <c r="AD51" s="527">
        <f t="shared" si="6"/>
        <v>0</v>
      </c>
      <c r="AE51" s="528">
        <f t="shared" si="28"/>
        <v>0</v>
      </c>
      <c r="AF51" s="528">
        <f t="shared" si="7"/>
        <v>0</v>
      </c>
      <c r="AG51" s="528">
        <f t="shared" si="8"/>
        <v>0</v>
      </c>
      <c r="AH51" s="529">
        <f t="shared" si="9"/>
        <v>0</v>
      </c>
      <c r="AI51" s="530">
        <f t="shared" si="10"/>
        <v>0</v>
      </c>
      <c r="AJ51" s="530">
        <f t="shared" si="11"/>
        <v>0</v>
      </c>
      <c r="AK51" s="530">
        <f t="shared" si="12"/>
        <v>0</v>
      </c>
      <c r="AL51" s="530">
        <f t="shared" si="13"/>
        <v>0</v>
      </c>
      <c r="AM51" s="530">
        <f t="shared" si="14"/>
        <v>0</v>
      </c>
      <c r="AN51" s="531">
        <f t="shared" si="15"/>
        <v>0</v>
      </c>
      <c r="AO51" s="531">
        <f t="shared" si="16"/>
        <v>7922.28</v>
      </c>
      <c r="AP51" s="531">
        <f t="shared" si="17"/>
        <v>0</v>
      </c>
      <c r="AQ51" s="531">
        <f t="shared" si="18"/>
        <v>0</v>
      </c>
      <c r="AR51" s="531">
        <f t="shared" si="19"/>
        <v>0</v>
      </c>
      <c r="AS51" s="531">
        <f t="shared" si="20"/>
        <v>0</v>
      </c>
      <c r="AT51" s="531">
        <f t="shared" si="21"/>
        <v>0</v>
      </c>
      <c r="AU51" s="531">
        <f t="shared" si="22"/>
        <v>0</v>
      </c>
      <c r="AV51" s="531">
        <f t="shared" si="23"/>
        <v>0</v>
      </c>
      <c r="AW51" s="531">
        <f t="shared" si="24"/>
        <v>0</v>
      </c>
      <c r="AX51" s="531">
        <f t="shared" si="25"/>
        <v>0</v>
      </c>
      <c r="AY51" s="531">
        <f t="shared" si="26"/>
        <v>0</v>
      </c>
      <c r="AZ51" s="510">
        <f t="shared" si="27"/>
        <v>7922.28</v>
      </c>
      <c r="BA51" s="643"/>
    </row>
    <row r="52" spans="1:53" x14ac:dyDescent="0.2">
      <c r="A52" s="480">
        <v>52</v>
      </c>
      <c r="B52" s="637">
        <f t="shared" si="3"/>
        <v>45</v>
      </c>
      <c r="C52" s="672" t="s">
        <v>313</v>
      </c>
      <c r="D52" s="516">
        <v>835.58</v>
      </c>
      <c r="E52" s="517">
        <v>1044.48</v>
      </c>
      <c r="F52" s="517">
        <v>1065.3699999999999</v>
      </c>
      <c r="G52" s="518">
        <v>1201.1500000000001</v>
      </c>
      <c r="H52" s="518">
        <v>1441.38</v>
      </c>
      <c r="I52" s="532">
        <v>1441.38</v>
      </c>
      <c r="J52" s="520">
        <v>2162.06</v>
      </c>
      <c r="K52" s="521">
        <v>2702.58</v>
      </c>
      <c r="L52" s="522">
        <v>3513.35</v>
      </c>
      <c r="M52" s="523">
        <v>3513.35</v>
      </c>
      <c r="N52" s="522">
        <v>5445.7</v>
      </c>
      <c r="O52" s="524">
        <v>5445.7</v>
      </c>
      <c r="P52" s="525">
        <v>8767.6</v>
      </c>
      <c r="Q52" s="525">
        <v>8767.6</v>
      </c>
      <c r="R52" s="525">
        <v>2</v>
      </c>
      <c r="S52" s="525">
        <v>3</v>
      </c>
      <c r="T52" s="525">
        <v>4</v>
      </c>
      <c r="U52" s="525">
        <v>5</v>
      </c>
      <c r="V52" s="525">
        <v>6</v>
      </c>
      <c r="W52" s="525">
        <v>7</v>
      </c>
      <c r="X52" s="525">
        <v>8</v>
      </c>
      <c r="Y52" s="525">
        <v>9</v>
      </c>
      <c r="Z52" s="525">
        <v>10</v>
      </c>
      <c r="AA52" s="525">
        <v>11</v>
      </c>
      <c r="AB52" s="526">
        <f t="shared" si="4"/>
        <v>0</v>
      </c>
      <c r="AC52" s="527">
        <f t="shared" si="5"/>
        <v>0</v>
      </c>
      <c r="AD52" s="527">
        <f t="shared" si="6"/>
        <v>0</v>
      </c>
      <c r="AE52" s="528">
        <f t="shared" si="28"/>
        <v>0</v>
      </c>
      <c r="AF52" s="528">
        <f t="shared" si="7"/>
        <v>0</v>
      </c>
      <c r="AG52" s="528">
        <f t="shared" si="8"/>
        <v>0</v>
      </c>
      <c r="AH52" s="529">
        <f t="shared" si="9"/>
        <v>0</v>
      </c>
      <c r="AI52" s="530">
        <f t="shared" si="10"/>
        <v>0</v>
      </c>
      <c r="AJ52" s="530">
        <f t="shared" si="11"/>
        <v>0</v>
      </c>
      <c r="AK52" s="530">
        <f t="shared" si="12"/>
        <v>0</v>
      </c>
      <c r="AL52" s="530">
        <f t="shared" si="13"/>
        <v>0</v>
      </c>
      <c r="AM52" s="530">
        <f t="shared" si="14"/>
        <v>0</v>
      </c>
      <c r="AN52" s="531">
        <f t="shared" si="15"/>
        <v>0</v>
      </c>
      <c r="AO52" s="531">
        <f t="shared" si="16"/>
        <v>8767.6</v>
      </c>
      <c r="AP52" s="531">
        <f t="shared" si="17"/>
        <v>0</v>
      </c>
      <c r="AQ52" s="531">
        <f t="shared" si="18"/>
        <v>0</v>
      </c>
      <c r="AR52" s="531">
        <f t="shared" si="19"/>
        <v>0</v>
      </c>
      <c r="AS52" s="531">
        <f t="shared" si="20"/>
        <v>0</v>
      </c>
      <c r="AT52" s="531">
        <f t="shared" si="21"/>
        <v>0</v>
      </c>
      <c r="AU52" s="531">
        <f t="shared" si="22"/>
        <v>0</v>
      </c>
      <c r="AV52" s="531">
        <f t="shared" si="23"/>
        <v>0</v>
      </c>
      <c r="AW52" s="531">
        <f t="shared" si="24"/>
        <v>0</v>
      </c>
      <c r="AX52" s="531">
        <f t="shared" si="25"/>
        <v>0</v>
      </c>
      <c r="AY52" s="531">
        <f t="shared" si="26"/>
        <v>0</v>
      </c>
      <c r="AZ52" s="510">
        <f t="shared" si="27"/>
        <v>8767.6</v>
      </c>
      <c r="BA52" s="643"/>
    </row>
    <row r="53" spans="1:53" x14ac:dyDescent="0.2">
      <c r="A53" s="480">
        <v>53</v>
      </c>
      <c r="B53" s="637">
        <f t="shared" si="3"/>
        <v>46</v>
      </c>
      <c r="C53" s="672" t="s">
        <v>314</v>
      </c>
      <c r="D53" s="516">
        <v>835.58</v>
      </c>
      <c r="E53" s="517">
        <v>1044.48</v>
      </c>
      <c r="F53" s="517">
        <v>1065.3699999999999</v>
      </c>
      <c r="G53" s="518">
        <v>1201.1500000000001</v>
      </c>
      <c r="H53" s="518">
        <v>1441.38</v>
      </c>
      <c r="I53" s="532">
        <v>1441.38</v>
      </c>
      <c r="J53" s="520">
        <v>2162.06</v>
      </c>
      <c r="K53" s="521">
        <v>2702.58</v>
      </c>
      <c r="L53" s="522">
        <v>3513.35</v>
      </c>
      <c r="M53" s="523">
        <v>3513.35</v>
      </c>
      <c r="N53" s="522">
        <v>5445.7</v>
      </c>
      <c r="O53" s="524">
        <v>5445.7</v>
      </c>
      <c r="P53" s="525">
        <v>8767.6</v>
      </c>
      <c r="Q53" s="525">
        <v>8767.6</v>
      </c>
      <c r="R53" s="525">
        <v>2</v>
      </c>
      <c r="S53" s="525">
        <v>3</v>
      </c>
      <c r="T53" s="525">
        <v>4</v>
      </c>
      <c r="U53" s="525">
        <v>5</v>
      </c>
      <c r="V53" s="525">
        <v>6</v>
      </c>
      <c r="W53" s="525">
        <v>7</v>
      </c>
      <c r="X53" s="525">
        <v>8</v>
      </c>
      <c r="Y53" s="525">
        <v>9</v>
      </c>
      <c r="Z53" s="525">
        <v>10</v>
      </c>
      <c r="AA53" s="525">
        <v>11</v>
      </c>
      <c r="AB53" s="526">
        <f t="shared" si="4"/>
        <v>0</v>
      </c>
      <c r="AC53" s="527">
        <f t="shared" si="5"/>
        <v>0</v>
      </c>
      <c r="AD53" s="527">
        <f t="shared" si="6"/>
        <v>0</v>
      </c>
      <c r="AE53" s="528">
        <f t="shared" si="28"/>
        <v>0</v>
      </c>
      <c r="AF53" s="528">
        <f t="shared" si="7"/>
        <v>0</v>
      </c>
      <c r="AG53" s="528">
        <f t="shared" si="8"/>
        <v>0</v>
      </c>
      <c r="AH53" s="529">
        <f t="shared" si="9"/>
        <v>0</v>
      </c>
      <c r="AI53" s="530">
        <f t="shared" si="10"/>
        <v>0</v>
      </c>
      <c r="AJ53" s="530">
        <f t="shared" si="11"/>
        <v>0</v>
      </c>
      <c r="AK53" s="530">
        <f t="shared" si="12"/>
        <v>0</v>
      </c>
      <c r="AL53" s="530">
        <f t="shared" si="13"/>
        <v>0</v>
      </c>
      <c r="AM53" s="530">
        <f t="shared" si="14"/>
        <v>0</v>
      </c>
      <c r="AN53" s="531">
        <f t="shared" si="15"/>
        <v>0</v>
      </c>
      <c r="AO53" s="531">
        <f t="shared" si="16"/>
        <v>8767.6</v>
      </c>
      <c r="AP53" s="531">
        <f t="shared" si="17"/>
        <v>0</v>
      </c>
      <c r="AQ53" s="531">
        <f t="shared" si="18"/>
        <v>0</v>
      </c>
      <c r="AR53" s="531">
        <f t="shared" si="19"/>
        <v>0</v>
      </c>
      <c r="AS53" s="531">
        <f t="shared" si="20"/>
        <v>0</v>
      </c>
      <c r="AT53" s="531">
        <f t="shared" si="21"/>
        <v>0</v>
      </c>
      <c r="AU53" s="531">
        <f t="shared" si="22"/>
        <v>0</v>
      </c>
      <c r="AV53" s="531">
        <f t="shared" si="23"/>
        <v>0</v>
      </c>
      <c r="AW53" s="531">
        <f t="shared" si="24"/>
        <v>0</v>
      </c>
      <c r="AX53" s="531">
        <f t="shared" si="25"/>
        <v>0</v>
      </c>
      <c r="AY53" s="531">
        <f t="shared" si="26"/>
        <v>0</v>
      </c>
      <c r="AZ53" s="510">
        <f t="shared" si="27"/>
        <v>8767.6</v>
      </c>
      <c r="BA53" s="643"/>
    </row>
    <row r="54" spans="1:53" x14ac:dyDescent="0.2">
      <c r="A54" s="480">
        <v>54</v>
      </c>
      <c r="B54" s="637">
        <f t="shared" si="3"/>
        <v>47</v>
      </c>
      <c r="C54" s="672" t="s">
        <v>315</v>
      </c>
      <c r="D54" s="516">
        <v>835.58</v>
      </c>
      <c r="E54" s="517">
        <v>1044.48</v>
      </c>
      <c r="F54" s="517">
        <v>1065.3699999999999</v>
      </c>
      <c r="G54" s="518">
        <v>1201.1500000000001</v>
      </c>
      <c r="H54" s="518">
        <v>1441.38</v>
      </c>
      <c r="I54" s="532">
        <v>1441.38</v>
      </c>
      <c r="J54" s="520">
        <v>2162.06</v>
      </c>
      <c r="K54" s="521">
        <v>2702.58</v>
      </c>
      <c r="L54" s="522">
        <v>3513.35</v>
      </c>
      <c r="M54" s="523">
        <v>3513.35</v>
      </c>
      <c r="N54" s="522">
        <v>5445.7</v>
      </c>
      <c r="O54" s="524">
        <v>5445.7</v>
      </c>
      <c r="P54" s="525">
        <v>8767.6</v>
      </c>
      <c r="Q54" s="525">
        <v>8767.6</v>
      </c>
      <c r="R54" s="525">
        <v>2</v>
      </c>
      <c r="S54" s="525">
        <v>3</v>
      </c>
      <c r="T54" s="525">
        <v>4</v>
      </c>
      <c r="U54" s="525">
        <v>5</v>
      </c>
      <c r="V54" s="525">
        <v>6</v>
      </c>
      <c r="W54" s="525">
        <v>7</v>
      </c>
      <c r="X54" s="525">
        <v>8</v>
      </c>
      <c r="Y54" s="525">
        <v>9</v>
      </c>
      <c r="Z54" s="525">
        <v>10</v>
      </c>
      <c r="AA54" s="525">
        <v>11</v>
      </c>
      <c r="AB54" s="526">
        <f t="shared" si="4"/>
        <v>0</v>
      </c>
      <c r="AC54" s="527">
        <f t="shared" si="5"/>
        <v>0</v>
      </c>
      <c r="AD54" s="527">
        <f t="shared" si="6"/>
        <v>0</v>
      </c>
      <c r="AE54" s="528">
        <f t="shared" si="28"/>
        <v>0</v>
      </c>
      <c r="AF54" s="528">
        <f t="shared" si="7"/>
        <v>0</v>
      </c>
      <c r="AG54" s="528">
        <f t="shared" si="8"/>
        <v>0</v>
      </c>
      <c r="AH54" s="529">
        <f t="shared" si="9"/>
        <v>0</v>
      </c>
      <c r="AI54" s="530">
        <f t="shared" si="10"/>
        <v>0</v>
      </c>
      <c r="AJ54" s="530">
        <f t="shared" si="11"/>
        <v>0</v>
      </c>
      <c r="AK54" s="530">
        <f t="shared" si="12"/>
        <v>0</v>
      </c>
      <c r="AL54" s="530">
        <f t="shared" si="13"/>
        <v>0</v>
      </c>
      <c r="AM54" s="530">
        <f t="shared" si="14"/>
        <v>0</v>
      </c>
      <c r="AN54" s="531">
        <f t="shared" si="15"/>
        <v>0</v>
      </c>
      <c r="AO54" s="531">
        <f t="shared" si="16"/>
        <v>8767.6</v>
      </c>
      <c r="AP54" s="531">
        <f t="shared" si="17"/>
        <v>0</v>
      </c>
      <c r="AQ54" s="531">
        <f t="shared" si="18"/>
        <v>0</v>
      </c>
      <c r="AR54" s="531">
        <f t="shared" si="19"/>
        <v>0</v>
      </c>
      <c r="AS54" s="531">
        <f t="shared" si="20"/>
        <v>0</v>
      </c>
      <c r="AT54" s="531">
        <f t="shared" si="21"/>
        <v>0</v>
      </c>
      <c r="AU54" s="531">
        <f t="shared" si="22"/>
        <v>0</v>
      </c>
      <c r="AV54" s="531">
        <f t="shared" si="23"/>
        <v>0</v>
      </c>
      <c r="AW54" s="531">
        <f t="shared" si="24"/>
        <v>0</v>
      </c>
      <c r="AX54" s="531">
        <f t="shared" si="25"/>
        <v>0</v>
      </c>
      <c r="AY54" s="531">
        <f t="shared" si="26"/>
        <v>0</v>
      </c>
      <c r="AZ54" s="510">
        <f t="shared" si="27"/>
        <v>8767.6</v>
      </c>
      <c r="BA54" s="643"/>
    </row>
    <row r="55" spans="1:53" x14ac:dyDescent="0.2">
      <c r="A55" s="480">
        <v>55</v>
      </c>
      <c r="B55" s="637">
        <f t="shared" si="3"/>
        <v>48</v>
      </c>
      <c r="C55" s="672" t="s">
        <v>316</v>
      </c>
      <c r="D55" s="516">
        <v>787.32</v>
      </c>
      <c r="E55" s="517">
        <v>984.15</v>
      </c>
      <c r="F55" s="517">
        <v>1003.83</v>
      </c>
      <c r="G55" s="518">
        <v>1131.77</v>
      </c>
      <c r="H55" s="518">
        <v>1358.13</v>
      </c>
      <c r="I55" s="532">
        <v>1358.13</v>
      </c>
      <c r="J55" s="520">
        <v>2037.19</v>
      </c>
      <c r="K55" s="521">
        <v>2546.4899999999998</v>
      </c>
      <c r="L55" s="522">
        <v>3310.43</v>
      </c>
      <c r="M55" s="523">
        <v>3310.43</v>
      </c>
      <c r="N55" s="522">
        <v>5131.17</v>
      </c>
      <c r="O55" s="524">
        <v>5131.17</v>
      </c>
      <c r="P55" s="525">
        <v>8261.2099999999991</v>
      </c>
      <c r="Q55" s="525">
        <v>8261.2099999999991</v>
      </c>
      <c r="R55" s="525">
        <v>2</v>
      </c>
      <c r="S55" s="525">
        <v>3</v>
      </c>
      <c r="T55" s="525">
        <v>4</v>
      </c>
      <c r="U55" s="525">
        <v>5</v>
      </c>
      <c r="V55" s="525">
        <v>6</v>
      </c>
      <c r="W55" s="525">
        <v>7</v>
      </c>
      <c r="X55" s="525">
        <v>8</v>
      </c>
      <c r="Y55" s="525">
        <v>9</v>
      </c>
      <c r="Z55" s="525">
        <v>10</v>
      </c>
      <c r="AA55" s="525">
        <v>11</v>
      </c>
      <c r="AB55" s="526">
        <f t="shared" si="4"/>
        <v>0</v>
      </c>
      <c r="AC55" s="527">
        <f t="shared" si="5"/>
        <v>0</v>
      </c>
      <c r="AD55" s="527">
        <f t="shared" si="6"/>
        <v>0</v>
      </c>
      <c r="AE55" s="528">
        <f t="shared" si="28"/>
        <v>0</v>
      </c>
      <c r="AF55" s="528">
        <f t="shared" si="7"/>
        <v>0</v>
      </c>
      <c r="AG55" s="528">
        <f t="shared" si="8"/>
        <v>0</v>
      </c>
      <c r="AH55" s="529">
        <f t="shared" si="9"/>
        <v>0</v>
      </c>
      <c r="AI55" s="530">
        <f t="shared" si="10"/>
        <v>0</v>
      </c>
      <c r="AJ55" s="530">
        <f t="shared" si="11"/>
        <v>0</v>
      </c>
      <c r="AK55" s="530">
        <f t="shared" si="12"/>
        <v>0</v>
      </c>
      <c r="AL55" s="530">
        <f t="shared" si="13"/>
        <v>0</v>
      </c>
      <c r="AM55" s="530">
        <f t="shared" si="14"/>
        <v>0</v>
      </c>
      <c r="AN55" s="531">
        <f t="shared" si="15"/>
        <v>0</v>
      </c>
      <c r="AO55" s="531">
        <f t="shared" si="16"/>
        <v>8261.2099999999991</v>
      </c>
      <c r="AP55" s="531">
        <f t="shared" si="17"/>
        <v>0</v>
      </c>
      <c r="AQ55" s="531">
        <f t="shared" si="18"/>
        <v>0</v>
      </c>
      <c r="AR55" s="531">
        <f t="shared" si="19"/>
        <v>0</v>
      </c>
      <c r="AS55" s="531">
        <f t="shared" si="20"/>
        <v>0</v>
      </c>
      <c r="AT55" s="531">
        <f t="shared" si="21"/>
        <v>0</v>
      </c>
      <c r="AU55" s="531">
        <f t="shared" si="22"/>
        <v>0</v>
      </c>
      <c r="AV55" s="531">
        <f t="shared" si="23"/>
        <v>0</v>
      </c>
      <c r="AW55" s="531">
        <f t="shared" si="24"/>
        <v>0</v>
      </c>
      <c r="AX55" s="531">
        <f t="shared" si="25"/>
        <v>0</v>
      </c>
      <c r="AY55" s="531">
        <f t="shared" si="26"/>
        <v>0</v>
      </c>
      <c r="AZ55" s="510">
        <f t="shared" si="27"/>
        <v>8261.2099999999991</v>
      </c>
      <c r="BA55" s="643"/>
    </row>
    <row r="56" spans="1:53" x14ac:dyDescent="0.2">
      <c r="A56" s="480">
        <v>56</v>
      </c>
      <c r="B56" s="637">
        <f t="shared" si="3"/>
        <v>49</v>
      </c>
      <c r="C56" s="672" t="s">
        <v>317</v>
      </c>
      <c r="D56" s="533">
        <v>963.14</v>
      </c>
      <c r="E56" s="517">
        <v>1203.93</v>
      </c>
      <c r="F56" s="517">
        <v>1228.01</v>
      </c>
      <c r="G56" s="518">
        <v>1384.52</v>
      </c>
      <c r="H56" s="518">
        <v>1661.42</v>
      </c>
      <c r="I56" s="532">
        <v>1661.42</v>
      </c>
      <c r="J56" s="520">
        <v>2492.12</v>
      </c>
      <c r="K56" s="521">
        <v>3115.16</v>
      </c>
      <c r="L56" s="522">
        <v>4049.7</v>
      </c>
      <c r="M56" s="523">
        <v>4049.7</v>
      </c>
      <c r="N56" s="522">
        <v>6277.04</v>
      </c>
      <c r="O56" s="524">
        <v>6277.04</v>
      </c>
      <c r="P56" s="525">
        <v>10106.049999999999</v>
      </c>
      <c r="Q56" s="525">
        <v>10106.049999999999</v>
      </c>
      <c r="R56" s="525">
        <v>2</v>
      </c>
      <c r="S56" s="525">
        <v>3</v>
      </c>
      <c r="T56" s="525">
        <v>4</v>
      </c>
      <c r="U56" s="525">
        <v>5</v>
      </c>
      <c r="V56" s="525">
        <v>6</v>
      </c>
      <c r="W56" s="525">
        <v>7</v>
      </c>
      <c r="X56" s="525">
        <v>8</v>
      </c>
      <c r="Y56" s="525">
        <v>9</v>
      </c>
      <c r="Z56" s="525">
        <v>10</v>
      </c>
      <c r="AA56" s="525">
        <v>11</v>
      </c>
      <c r="AB56" s="526">
        <f t="shared" si="4"/>
        <v>0</v>
      </c>
      <c r="AC56" s="527">
        <f t="shared" si="5"/>
        <v>0</v>
      </c>
      <c r="AD56" s="527">
        <f t="shared" si="6"/>
        <v>0</v>
      </c>
      <c r="AE56" s="528">
        <f t="shared" si="28"/>
        <v>0</v>
      </c>
      <c r="AF56" s="528">
        <f t="shared" si="7"/>
        <v>0</v>
      </c>
      <c r="AG56" s="528">
        <f t="shared" si="8"/>
        <v>0</v>
      </c>
      <c r="AH56" s="529">
        <f t="shared" si="9"/>
        <v>0</v>
      </c>
      <c r="AI56" s="530">
        <f t="shared" si="10"/>
        <v>0</v>
      </c>
      <c r="AJ56" s="530">
        <f t="shared" si="11"/>
        <v>0</v>
      </c>
      <c r="AK56" s="530">
        <f t="shared" si="12"/>
        <v>0</v>
      </c>
      <c r="AL56" s="530">
        <f t="shared" si="13"/>
        <v>0</v>
      </c>
      <c r="AM56" s="530">
        <f t="shared" si="14"/>
        <v>0</v>
      </c>
      <c r="AN56" s="531">
        <f t="shared" si="15"/>
        <v>0</v>
      </c>
      <c r="AO56" s="531">
        <f t="shared" si="16"/>
        <v>10106.049999999999</v>
      </c>
      <c r="AP56" s="531">
        <f t="shared" si="17"/>
        <v>0</v>
      </c>
      <c r="AQ56" s="531">
        <f t="shared" si="18"/>
        <v>0</v>
      </c>
      <c r="AR56" s="531">
        <f t="shared" si="19"/>
        <v>0</v>
      </c>
      <c r="AS56" s="531">
        <f t="shared" si="20"/>
        <v>0</v>
      </c>
      <c r="AT56" s="531">
        <f t="shared" si="21"/>
        <v>0</v>
      </c>
      <c r="AU56" s="531">
        <f t="shared" si="22"/>
        <v>0</v>
      </c>
      <c r="AV56" s="531">
        <f t="shared" si="23"/>
        <v>0</v>
      </c>
      <c r="AW56" s="531">
        <f t="shared" si="24"/>
        <v>0</v>
      </c>
      <c r="AX56" s="531">
        <f t="shared" si="25"/>
        <v>0</v>
      </c>
      <c r="AY56" s="531">
        <f t="shared" si="26"/>
        <v>0</v>
      </c>
      <c r="AZ56" s="510">
        <f t="shared" si="27"/>
        <v>10106.049999999999</v>
      </c>
      <c r="BA56" s="643"/>
    </row>
    <row r="57" spans="1:53" x14ac:dyDescent="0.2">
      <c r="A57" s="480">
        <v>57</v>
      </c>
      <c r="B57" s="637">
        <f t="shared" si="3"/>
        <v>50</v>
      </c>
      <c r="C57" s="672" t="s">
        <v>318</v>
      </c>
      <c r="D57" s="533">
        <v>835.58</v>
      </c>
      <c r="E57" s="517">
        <v>1044.48</v>
      </c>
      <c r="F57" s="517">
        <v>1065.3699999999999</v>
      </c>
      <c r="G57" s="518">
        <v>1201.1500000000001</v>
      </c>
      <c r="H57" s="518">
        <v>1441.38</v>
      </c>
      <c r="I57" s="532">
        <v>1441.38</v>
      </c>
      <c r="J57" s="520">
        <v>2162.06</v>
      </c>
      <c r="K57" s="521">
        <v>2702.58</v>
      </c>
      <c r="L57" s="522">
        <v>3513.35</v>
      </c>
      <c r="M57" s="523">
        <v>3513.35</v>
      </c>
      <c r="N57" s="522">
        <v>5445.7</v>
      </c>
      <c r="O57" s="524">
        <v>5445.7</v>
      </c>
      <c r="P57" s="525">
        <v>8767.6</v>
      </c>
      <c r="Q57" s="525">
        <v>8767.6</v>
      </c>
      <c r="R57" s="525">
        <v>2</v>
      </c>
      <c r="S57" s="525">
        <v>3</v>
      </c>
      <c r="T57" s="525">
        <v>4</v>
      </c>
      <c r="U57" s="525">
        <v>5</v>
      </c>
      <c r="V57" s="525">
        <v>6</v>
      </c>
      <c r="W57" s="525">
        <v>7</v>
      </c>
      <c r="X57" s="525">
        <v>8</v>
      </c>
      <c r="Y57" s="525">
        <v>9</v>
      </c>
      <c r="Z57" s="525">
        <v>10</v>
      </c>
      <c r="AA57" s="525">
        <v>11</v>
      </c>
      <c r="AB57" s="526">
        <f t="shared" si="4"/>
        <v>0</v>
      </c>
      <c r="AC57" s="527">
        <f t="shared" si="5"/>
        <v>0</v>
      </c>
      <c r="AD57" s="527">
        <f t="shared" si="6"/>
        <v>0</v>
      </c>
      <c r="AE57" s="528">
        <f t="shared" si="28"/>
        <v>0</v>
      </c>
      <c r="AF57" s="528">
        <f t="shared" si="7"/>
        <v>0</v>
      </c>
      <c r="AG57" s="528">
        <f t="shared" si="8"/>
        <v>0</v>
      </c>
      <c r="AH57" s="529">
        <f t="shared" si="9"/>
        <v>0</v>
      </c>
      <c r="AI57" s="530">
        <f t="shared" si="10"/>
        <v>0</v>
      </c>
      <c r="AJ57" s="530">
        <f t="shared" si="11"/>
        <v>0</v>
      </c>
      <c r="AK57" s="530">
        <f t="shared" si="12"/>
        <v>0</v>
      </c>
      <c r="AL57" s="530">
        <f t="shared" si="13"/>
        <v>0</v>
      </c>
      <c r="AM57" s="530">
        <f t="shared" si="14"/>
        <v>0</v>
      </c>
      <c r="AN57" s="531">
        <f t="shared" si="15"/>
        <v>0</v>
      </c>
      <c r="AO57" s="531">
        <f t="shared" si="16"/>
        <v>8767.6</v>
      </c>
      <c r="AP57" s="531">
        <f t="shared" si="17"/>
        <v>0</v>
      </c>
      <c r="AQ57" s="531">
        <f t="shared" si="18"/>
        <v>0</v>
      </c>
      <c r="AR57" s="531">
        <f t="shared" si="19"/>
        <v>0</v>
      </c>
      <c r="AS57" s="531">
        <f t="shared" si="20"/>
        <v>0</v>
      </c>
      <c r="AT57" s="531">
        <f t="shared" si="21"/>
        <v>0</v>
      </c>
      <c r="AU57" s="531">
        <f t="shared" si="22"/>
        <v>0</v>
      </c>
      <c r="AV57" s="531">
        <f t="shared" si="23"/>
        <v>0</v>
      </c>
      <c r="AW57" s="531">
        <f t="shared" si="24"/>
        <v>0</v>
      </c>
      <c r="AX57" s="531">
        <f t="shared" si="25"/>
        <v>0</v>
      </c>
      <c r="AY57" s="531">
        <f t="shared" si="26"/>
        <v>0</v>
      </c>
      <c r="AZ57" s="510">
        <f t="shared" si="27"/>
        <v>8767.6</v>
      </c>
      <c r="BA57" s="643"/>
    </row>
    <row r="58" spans="1:53" x14ac:dyDescent="0.2">
      <c r="A58" s="480">
        <v>58</v>
      </c>
      <c r="B58" s="637">
        <f t="shared" si="3"/>
        <v>51</v>
      </c>
      <c r="C58" s="672" t="s">
        <v>319</v>
      </c>
      <c r="D58" s="533">
        <v>835.58</v>
      </c>
      <c r="E58" s="517">
        <v>1044.48</v>
      </c>
      <c r="F58" s="517">
        <v>1065.3699999999999</v>
      </c>
      <c r="G58" s="518">
        <v>1201.1500000000001</v>
      </c>
      <c r="H58" s="518">
        <v>1441.38</v>
      </c>
      <c r="I58" s="532">
        <v>1441.38</v>
      </c>
      <c r="J58" s="520">
        <v>2162.06</v>
      </c>
      <c r="K58" s="521">
        <v>2702.58</v>
      </c>
      <c r="L58" s="522">
        <v>3513.35</v>
      </c>
      <c r="M58" s="523">
        <v>3513.35</v>
      </c>
      <c r="N58" s="522">
        <v>5445.7</v>
      </c>
      <c r="O58" s="524">
        <v>5445.7</v>
      </c>
      <c r="P58" s="525">
        <v>8767.6</v>
      </c>
      <c r="Q58" s="525">
        <v>8767.6</v>
      </c>
      <c r="R58" s="525">
        <v>2</v>
      </c>
      <c r="S58" s="525">
        <v>3</v>
      </c>
      <c r="T58" s="525">
        <v>4</v>
      </c>
      <c r="U58" s="525">
        <v>5</v>
      </c>
      <c r="V58" s="525">
        <v>6</v>
      </c>
      <c r="W58" s="525">
        <v>7</v>
      </c>
      <c r="X58" s="525">
        <v>8</v>
      </c>
      <c r="Y58" s="525">
        <v>9</v>
      </c>
      <c r="Z58" s="525">
        <v>10</v>
      </c>
      <c r="AA58" s="525">
        <v>11</v>
      </c>
      <c r="AB58" s="526">
        <f t="shared" si="4"/>
        <v>0</v>
      </c>
      <c r="AC58" s="527">
        <f t="shared" si="5"/>
        <v>0</v>
      </c>
      <c r="AD58" s="527">
        <f t="shared" si="6"/>
        <v>0</v>
      </c>
      <c r="AE58" s="528">
        <f t="shared" si="28"/>
        <v>0</v>
      </c>
      <c r="AF58" s="528">
        <f t="shared" si="7"/>
        <v>0</v>
      </c>
      <c r="AG58" s="528">
        <f t="shared" si="8"/>
        <v>0</v>
      </c>
      <c r="AH58" s="529">
        <f t="shared" si="9"/>
        <v>0</v>
      </c>
      <c r="AI58" s="530">
        <f t="shared" si="10"/>
        <v>0</v>
      </c>
      <c r="AJ58" s="530">
        <f t="shared" si="11"/>
        <v>0</v>
      </c>
      <c r="AK58" s="530">
        <f t="shared" si="12"/>
        <v>0</v>
      </c>
      <c r="AL58" s="530">
        <f t="shared" si="13"/>
        <v>0</v>
      </c>
      <c r="AM58" s="530">
        <f t="shared" si="14"/>
        <v>0</v>
      </c>
      <c r="AN58" s="531">
        <f t="shared" si="15"/>
        <v>0</v>
      </c>
      <c r="AO58" s="531">
        <f t="shared" si="16"/>
        <v>8767.6</v>
      </c>
      <c r="AP58" s="531">
        <f t="shared" si="17"/>
        <v>0</v>
      </c>
      <c r="AQ58" s="531">
        <f t="shared" si="18"/>
        <v>0</v>
      </c>
      <c r="AR58" s="531">
        <f t="shared" si="19"/>
        <v>0</v>
      </c>
      <c r="AS58" s="531">
        <f t="shared" si="20"/>
        <v>0</v>
      </c>
      <c r="AT58" s="531">
        <f t="shared" si="21"/>
        <v>0</v>
      </c>
      <c r="AU58" s="531">
        <f t="shared" si="22"/>
        <v>0</v>
      </c>
      <c r="AV58" s="531">
        <f t="shared" si="23"/>
        <v>0</v>
      </c>
      <c r="AW58" s="531">
        <f t="shared" si="24"/>
        <v>0</v>
      </c>
      <c r="AX58" s="531">
        <f t="shared" si="25"/>
        <v>0</v>
      </c>
      <c r="AY58" s="531">
        <f t="shared" si="26"/>
        <v>0</v>
      </c>
      <c r="AZ58" s="510">
        <f t="shared" si="27"/>
        <v>8767.6</v>
      </c>
      <c r="BA58" s="643"/>
    </row>
    <row r="59" spans="1:53" x14ac:dyDescent="0.2">
      <c r="A59" s="480">
        <v>59</v>
      </c>
      <c r="B59" s="637">
        <f t="shared" si="3"/>
        <v>52</v>
      </c>
      <c r="C59" s="672" t="s">
        <v>320</v>
      </c>
      <c r="D59" s="533">
        <v>963.14</v>
      </c>
      <c r="E59" s="517">
        <v>1203.93</v>
      </c>
      <c r="F59" s="517">
        <v>1228.01</v>
      </c>
      <c r="G59" s="518">
        <v>1384.52</v>
      </c>
      <c r="H59" s="518">
        <v>1661.42</v>
      </c>
      <c r="I59" s="532">
        <v>1661.42</v>
      </c>
      <c r="J59" s="520">
        <v>2492.12</v>
      </c>
      <c r="K59" s="521">
        <v>3115.16</v>
      </c>
      <c r="L59" s="522">
        <v>4049.7</v>
      </c>
      <c r="M59" s="523">
        <v>4049.7</v>
      </c>
      <c r="N59" s="522">
        <v>6277.04</v>
      </c>
      <c r="O59" s="524">
        <v>6277.04</v>
      </c>
      <c r="P59" s="525">
        <v>10106.049999999999</v>
      </c>
      <c r="Q59" s="525">
        <v>10106.049999999999</v>
      </c>
      <c r="R59" s="525">
        <v>2</v>
      </c>
      <c r="S59" s="525">
        <v>3</v>
      </c>
      <c r="T59" s="525">
        <v>4</v>
      </c>
      <c r="U59" s="525">
        <v>5</v>
      </c>
      <c r="V59" s="525">
        <v>6</v>
      </c>
      <c r="W59" s="525">
        <v>7</v>
      </c>
      <c r="X59" s="525">
        <v>8</v>
      </c>
      <c r="Y59" s="525">
        <v>9</v>
      </c>
      <c r="Z59" s="525">
        <v>10</v>
      </c>
      <c r="AA59" s="525">
        <v>11</v>
      </c>
      <c r="AB59" s="526">
        <f t="shared" si="4"/>
        <v>0</v>
      </c>
      <c r="AC59" s="527">
        <f t="shared" si="5"/>
        <v>0</v>
      </c>
      <c r="AD59" s="527">
        <f t="shared" si="6"/>
        <v>0</v>
      </c>
      <c r="AE59" s="528">
        <f t="shared" si="28"/>
        <v>0</v>
      </c>
      <c r="AF59" s="528">
        <f t="shared" si="7"/>
        <v>0</v>
      </c>
      <c r="AG59" s="528">
        <f t="shared" si="8"/>
        <v>0</v>
      </c>
      <c r="AH59" s="529">
        <f t="shared" si="9"/>
        <v>0</v>
      </c>
      <c r="AI59" s="530">
        <f t="shared" si="10"/>
        <v>0</v>
      </c>
      <c r="AJ59" s="530">
        <f t="shared" si="11"/>
        <v>0</v>
      </c>
      <c r="AK59" s="530">
        <f t="shared" si="12"/>
        <v>0</v>
      </c>
      <c r="AL59" s="530">
        <f t="shared" si="13"/>
        <v>0</v>
      </c>
      <c r="AM59" s="530">
        <f t="shared" si="14"/>
        <v>0</v>
      </c>
      <c r="AN59" s="531">
        <f t="shared" si="15"/>
        <v>0</v>
      </c>
      <c r="AO59" s="531">
        <f t="shared" si="16"/>
        <v>10106.049999999999</v>
      </c>
      <c r="AP59" s="531">
        <f t="shared" si="17"/>
        <v>0</v>
      </c>
      <c r="AQ59" s="531">
        <f t="shared" si="18"/>
        <v>0</v>
      </c>
      <c r="AR59" s="531">
        <f t="shared" si="19"/>
        <v>0</v>
      </c>
      <c r="AS59" s="531">
        <f t="shared" si="20"/>
        <v>0</v>
      </c>
      <c r="AT59" s="531">
        <f t="shared" si="21"/>
        <v>0</v>
      </c>
      <c r="AU59" s="531">
        <f t="shared" si="22"/>
        <v>0</v>
      </c>
      <c r="AV59" s="531">
        <f t="shared" si="23"/>
        <v>0</v>
      </c>
      <c r="AW59" s="531">
        <f t="shared" si="24"/>
        <v>0</v>
      </c>
      <c r="AX59" s="531">
        <f t="shared" si="25"/>
        <v>0</v>
      </c>
      <c r="AY59" s="531">
        <f t="shared" si="26"/>
        <v>0</v>
      </c>
      <c r="AZ59" s="510">
        <f t="shared" si="27"/>
        <v>10106.049999999999</v>
      </c>
      <c r="BA59" s="643"/>
    </row>
    <row r="60" spans="1:53" x14ac:dyDescent="0.2">
      <c r="A60" s="480">
        <v>60</v>
      </c>
      <c r="B60" s="637">
        <f t="shared" si="3"/>
        <v>53</v>
      </c>
      <c r="C60" s="672" t="s">
        <v>321</v>
      </c>
      <c r="D60" s="533">
        <v>835.58</v>
      </c>
      <c r="E60" s="517">
        <v>1044.48</v>
      </c>
      <c r="F60" s="517">
        <v>1065.3699999999999</v>
      </c>
      <c r="G60" s="518">
        <v>1201.1500000000001</v>
      </c>
      <c r="H60" s="518">
        <v>1441.38</v>
      </c>
      <c r="I60" s="532">
        <v>1441.38</v>
      </c>
      <c r="J60" s="520">
        <v>2162.06</v>
      </c>
      <c r="K60" s="521">
        <v>2702.58</v>
      </c>
      <c r="L60" s="522">
        <v>3513.35</v>
      </c>
      <c r="M60" s="523">
        <v>3513.35</v>
      </c>
      <c r="N60" s="522">
        <v>5445.7</v>
      </c>
      <c r="O60" s="524">
        <v>5445.7</v>
      </c>
      <c r="P60" s="525">
        <v>8767.6</v>
      </c>
      <c r="Q60" s="525">
        <v>8767.6</v>
      </c>
      <c r="R60" s="525">
        <v>2</v>
      </c>
      <c r="S60" s="525">
        <v>3</v>
      </c>
      <c r="T60" s="525">
        <v>4</v>
      </c>
      <c r="U60" s="525">
        <v>5</v>
      </c>
      <c r="V60" s="525">
        <v>6</v>
      </c>
      <c r="W60" s="525">
        <v>7</v>
      </c>
      <c r="X60" s="525">
        <v>8</v>
      </c>
      <c r="Y60" s="525">
        <v>9</v>
      </c>
      <c r="Z60" s="525">
        <v>10</v>
      </c>
      <c r="AA60" s="525">
        <v>11</v>
      </c>
      <c r="AB60" s="526">
        <f t="shared" si="4"/>
        <v>0</v>
      </c>
      <c r="AC60" s="527">
        <f t="shared" si="5"/>
        <v>0</v>
      </c>
      <c r="AD60" s="527">
        <f t="shared" si="6"/>
        <v>0</v>
      </c>
      <c r="AE60" s="528">
        <f t="shared" si="28"/>
        <v>0</v>
      </c>
      <c r="AF60" s="528">
        <f t="shared" si="7"/>
        <v>0</v>
      </c>
      <c r="AG60" s="528">
        <f t="shared" si="8"/>
        <v>0</v>
      </c>
      <c r="AH60" s="529">
        <f t="shared" si="9"/>
        <v>0</v>
      </c>
      <c r="AI60" s="530">
        <f t="shared" si="10"/>
        <v>0</v>
      </c>
      <c r="AJ60" s="530">
        <f t="shared" si="11"/>
        <v>0</v>
      </c>
      <c r="AK60" s="530">
        <f t="shared" si="12"/>
        <v>0</v>
      </c>
      <c r="AL60" s="530">
        <f t="shared" si="13"/>
        <v>0</v>
      </c>
      <c r="AM60" s="530">
        <f t="shared" si="14"/>
        <v>0</v>
      </c>
      <c r="AN60" s="531">
        <f t="shared" si="15"/>
        <v>0</v>
      </c>
      <c r="AO60" s="531">
        <f t="shared" si="16"/>
        <v>8767.6</v>
      </c>
      <c r="AP60" s="531">
        <f t="shared" si="17"/>
        <v>0</v>
      </c>
      <c r="AQ60" s="531">
        <f t="shared" si="18"/>
        <v>0</v>
      </c>
      <c r="AR60" s="531">
        <f t="shared" si="19"/>
        <v>0</v>
      </c>
      <c r="AS60" s="531">
        <f t="shared" si="20"/>
        <v>0</v>
      </c>
      <c r="AT60" s="531">
        <f t="shared" si="21"/>
        <v>0</v>
      </c>
      <c r="AU60" s="531">
        <f t="shared" si="22"/>
        <v>0</v>
      </c>
      <c r="AV60" s="531">
        <f t="shared" si="23"/>
        <v>0</v>
      </c>
      <c r="AW60" s="531">
        <f t="shared" si="24"/>
        <v>0</v>
      </c>
      <c r="AX60" s="531">
        <f t="shared" si="25"/>
        <v>0</v>
      </c>
      <c r="AY60" s="531">
        <f t="shared" si="26"/>
        <v>0</v>
      </c>
      <c r="AZ60" s="510">
        <f t="shared" si="27"/>
        <v>8767.6</v>
      </c>
      <c r="BA60" s="643"/>
    </row>
    <row r="61" spans="1:53" x14ac:dyDescent="0.2">
      <c r="A61" s="480">
        <v>61</v>
      </c>
      <c r="B61" s="637">
        <f t="shared" si="3"/>
        <v>54</v>
      </c>
      <c r="C61" s="672" t="s">
        <v>322</v>
      </c>
      <c r="D61" s="533">
        <v>835.58</v>
      </c>
      <c r="E61" s="517">
        <v>1044.48</v>
      </c>
      <c r="F61" s="517">
        <v>1065.3699999999999</v>
      </c>
      <c r="G61" s="518">
        <v>1201.1500000000001</v>
      </c>
      <c r="H61" s="518">
        <v>1441.38</v>
      </c>
      <c r="I61" s="532">
        <v>1441.38</v>
      </c>
      <c r="J61" s="520">
        <v>2162.06</v>
      </c>
      <c r="K61" s="521">
        <v>2702.58</v>
      </c>
      <c r="L61" s="522">
        <v>3513.35</v>
      </c>
      <c r="M61" s="523">
        <v>3513.35</v>
      </c>
      <c r="N61" s="522">
        <v>5445.7</v>
      </c>
      <c r="O61" s="524">
        <v>5445.7</v>
      </c>
      <c r="P61" s="525">
        <v>8767.6</v>
      </c>
      <c r="Q61" s="525">
        <v>8767.6</v>
      </c>
      <c r="R61" s="525">
        <v>2</v>
      </c>
      <c r="S61" s="525">
        <v>3</v>
      </c>
      <c r="T61" s="525">
        <v>4</v>
      </c>
      <c r="U61" s="525">
        <v>5</v>
      </c>
      <c r="V61" s="525">
        <v>6</v>
      </c>
      <c r="W61" s="525">
        <v>7</v>
      </c>
      <c r="X61" s="525">
        <v>8</v>
      </c>
      <c r="Y61" s="525">
        <v>9</v>
      </c>
      <c r="Z61" s="525">
        <v>10</v>
      </c>
      <c r="AA61" s="525">
        <v>11</v>
      </c>
      <c r="AB61" s="526">
        <f t="shared" si="4"/>
        <v>0</v>
      </c>
      <c r="AC61" s="527">
        <f t="shared" si="5"/>
        <v>0</v>
      </c>
      <c r="AD61" s="527">
        <f t="shared" si="6"/>
        <v>0</v>
      </c>
      <c r="AE61" s="528">
        <f t="shared" si="28"/>
        <v>0</v>
      </c>
      <c r="AF61" s="528">
        <f t="shared" si="7"/>
        <v>0</v>
      </c>
      <c r="AG61" s="528">
        <f t="shared" si="8"/>
        <v>0</v>
      </c>
      <c r="AH61" s="529">
        <f t="shared" si="9"/>
        <v>0</v>
      </c>
      <c r="AI61" s="530">
        <f t="shared" si="10"/>
        <v>0</v>
      </c>
      <c r="AJ61" s="530">
        <f t="shared" si="11"/>
        <v>0</v>
      </c>
      <c r="AK61" s="530">
        <f t="shared" si="12"/>
        <v>0</v>
      </c>
      <c r="AL61" s="530">
        <f t="shared" si="13"/>
        <v>0</v>
      </c>
      <c r="AM61" s="530">
        <f t="shared" si="14"/>
        <v>0</v>
      </c>
      <c r="AN61" s="531">
        <f t="shared" si="15"/>
        <v>0</v>
      </c>
      <c r="AO61" s="531">
        <f t="shared" si="16"/>
        <v>8767.6</v>
      </c>
      <c r="AP61" s="531">
        <f t="shared" si="17"/>
        <v>0</v>
      </c>
      <c r="AQ61" s="531">
        <f t="shared" si="18"/>
        <v>0</v>
      </c>
      <c r="AR61" s="531">
        <f t="shared" si="19"/>
        <v>0</v>
      </c>
      <c r="AS61" s="531">
        <f t="shared" si="20"/>
        <v>0</v>
      </c>
      <c r="AT61" s="531">
        <f t="shared" si="21"/>
        <v>0</v>
      </c>
      <c r="AU61" s="531">
        <f t="shared" si="22"/>
        <v>0</v>
      </c>
      <c r="AV61" s="531">
        <f t="shared" si="23"/>
        <v>0</v>
      </c>
      <c r="AW61" s="531">
        <f t="shared" si="24"/>
        <v>0</v>
      </c>
      <c r="AX61" s="531">
        <f t="shared" si="25"/>
        <v>0</v>
      </c>
      <c r="AY61" s="531">
        <f t="shared" si="26"/>
        <v>0</v>
      </c>
      <c r="AZ61" s="510">
        <f t="shared" si="27"/>
        <v>8767.6</v>
      </c>
      <c r="BA61" s="643"/>
    </row>
    <row r="62" spans="1:53" x14ac:dyDescent="0.2">
      <c r="A62" s="480">
        <v>62</v>
      </c>
      <c r="B62" s="637">
        <f t="shared" si="3"/>
        <v>55</v>
      </c>
      <c r="C62" s="672" t="s">
        <v>323</v>
      </c>
      <c r="D62" s="533">
        <v>835.58</v>
      </c>
      <c r="E62" s="517">
        <v>1044.48</v>
      </c>
      <c r="F62" s="517">
        <v>1065.3699999999999</v>
      </c>
      <c r="G62" s="518">
        <v>1201.1500000000001</v>
      </c>
      <c r="H62" s="518">
        <v>1441.38</v>
      </c>
      <c r="I62" s="532">
        <v>1441.38</v>
      </c>
      <c r="J62" s="520">
        <v>2162.06</v>
      </c>
      <c r="K62" s="521">
        <v>2702.58</v>
      </c>
      <c r="L62" s="522">
        <v>3513.35</v>
      </c>
      <c r="M62" s="523">
        <v>3513.35</v>
      </c>
      <c r="N62" s="522">
        <v>5445.7</v>
      </c>
      <c r="O62" s="524">
        <v>5445.7</v>
      </c>
      <c r="P62" s="525">
        <v>8767.6</v>
      </c>
      <c r="Q62" s="525">
        <v>8767.6</v>
      </c>
      <c r="R62" s="525">
        <v>2</v>
      </c>
      <c r="S62" s="525">
        <v>3</v>
      </c>
      <c r="T62" s="525">
        <v>4</v>
      </c>
      <c r="U62" s="525">
        <v>5</v>
      </c>
      <c r="V62" s="525">
        <v>6</v>
      </c>
      <c r="W62" s="525">
        <v>7</v>
      </c>
      <c r="X62" s="525">
        <v>8</v>
      </c>
      <c r="Y62" s="525">
        <v>9</v>
      </c>
      <c r="Z62" s="525">
        <v>10</v>
      </c>
      <c r="AA62" s="525">
        <v>11</v>
      </c>
      <c r="AB62" s="526">
        <f t="shared" si="4"/>
        <v>0</v>
      </c>
      <c r="AC62" s="527">
        <f t="shared" si="5"/>
        <v>0</v>
      </c>
      <c r="AD62" s="527">
        <f t="shared" si="6"/>
        <v>0</v>
      </c>
      <c r="AE62" s="528">
        <f t="shared" si="28"/>
        <v>0</v>
      </c>
      <c r="AF62" s="528">
        <f t="shared" si="7"/>
        <v>0</v>
      </c>
      <c r="AG62" s="528">
        <f t="shared" si="8"/>
        <v>0</v>
      </c>
      <c r="AH62" s="529">
        <f t="shared" si="9"/>
        <v>0</v>
      </c>
      <c r="AI62" s="530">
        <f t="shared" si="10"/>
        <v>0</v>
      </c>
      <c r="AJ62" s="530">
        <f t="shared" si="11"/>
        <v>0</v>
      </c>
      <c r="AK62" s="530">
        <f t="shared" si="12"/>
        <v>0</v>
      </c>
      <c r="AL62" s="530">
        <f t="shared" si="13"/>
        <v>0</v>
      </c>
      <c r="AM62" s="530">
        <f t="shared" si="14"/>
        <v>0</v>
      </c>
      <c r="AN62" s="531">
        <f t="shared" si="15"/>
        <v>0</v>
      </c>
      <c r="AO62" s="531">
        <f t="shared" si="16"/>
        <v>8767.6</v>
      </c>
      <c r="AP62" s="531">
        <f t="shared" si="17"/>
        <v>0</v>
      </c>
      <c r="AQ62" s="531">
        <f t="shared" si="18"/>
        <v>0</v>
      </c>
      <c r="AR62" s="531">
        <f t="shared" si="19"/>
        <v>0</v>
      </c>
      <c r="AS62" s="531">
        <f t="shared" si="20"/>
        <v>0</v>
      </c>
      <c r="AT62" s="531">
        <f t="shared" si="21"/>
        <v>0</v>
      </c>
      <c r="AU62" s="531">
        <f t="shared" si="22"/>
        <v>0</v>
      </c>
      <c r="AV62" s="531">
        <f t="shared" si="23"/>
        <v>0</v>
      </c>
      <c r="AW62" s="531">
        <f t="shared" si="24"/>
        <v>0</v>
      </c>
      <c r="AX62" s="531">
        <f t="shared" si="25"/>
        <v>0</v>
      </c>
      <c r="AY62" s="531">
        <f t="shared" si="26"/>
        <v>0</v>
      </c>
      <c r="AZ62" s="510">
        <f t="shared" si="27"/>
        <v>8767.6</v>
      </c>
      <c r="BA62" s="643"/>
    </row>
    <row r="63" spans="1:53" x14ac:dyDescent="0.2">
      <c r="A63" s="480">
        <v>63</v>
      </c>
      <c r="B63" s="637">
        <f t="shared" si="3"/>
        <v>56</v>
      </c>
      <c r="C63" s="672" t="s">
        <v>324</v>
      </c>
      <c r="D63" s="533">
        <v>963.14</v>
      </c>
      <c r="E63" s="517">
        <v>1203.93</v>
      </c>
      <c r="F63" s="517">
        <v>1228.01</v>
      </c>
      <c r="G63" s="518">
        <v>1384.52</v>
      </c>
      <c r="H63" s="518">
        <v>1661.42</v>
      </c>
      <c r="I63" s="532">
        <v>1661.42</v>
      </c>
      <c r="J63" s="520">
        <v>2492.12</v>
      </c>
      <c r="K63" s="521">
        <v>3115.16</v>
      </c>
      <c r="L63" s="522">
        <v>4049.7</v>
      </c>
      <c r="M63" s="523">
        <v>4049.7</v>
      </c>
      <c r="N63" s="522">
        <v>6277.04</v>
      </c>
      <c r="O63" s="524">
        <v>6277.04</v>
      </c>
      <c r="P63" s="525">
        <v>10106.049999999999</v>
      </c>
      <c r="Q63" s="525">
        <v>10106.049999999999</v>
      </c>
      <c r="R63" s="525">
        <v>2</v>
      </c>
      <c r="S63" s="525">
        <v>3</v>
      </c>
      <c r="T63" s="525">
        <v>4</v>
      </c>
      <c r="U63" s="525">
        <v>5</v>
      </c>
      <c r="V63" s="525">
        <v>6</v>
      </c>
      <c r="W63" s="525">
        <v>7</v>
      </c>
      <c r="X63" s="525">
        <v>8</v>
      </c>
      <c r="Y63" s="525">
        <v>9</v>
      </c>
      <c r="Z63" s="525">
        <v>10</v>
      </c>
      <c r="AA63" s="525">
        <v>11</v>
      </c>
      <c r="AB63" s="526">
        <f t="shared" si="4"/>
        <v>0</v>
      </c>
      <c r="AC63" s="527">
        <f t="shared" si="5"/>
        <v>0</v>
      </c>
      <c r="AD63" s="527">
        <f t="shared" si="6"/>
        <v>0</v>
      </c>
      <c r="AE63" s="528">
        <f t="shared" si="28"/>
        <v>0</v>
      </c>
      <c r="AF63" s="528">
        <f t="shared" si="7"/>
        <v>0</v>
      </c>
      <c r="AG63" s="528">
        <f t="shared" si="8"/>
        <v>0</v>
      </c>
      <c r="AH63" s="529">
        <f t="shared" si="9"/>
        <v>0</v>
      </c>
      <c r="AI63" s="530">
        <f t="shared" si="10"/>
        <v>0</v>
      </c>
      <c r="AJ63" s="530">
        <f t="shared" si="11"/>
        <v>0</v>
      </c>
      <c r="AK63" s="530">
        <f t="shared" si="12"/>
        <v>0</v>
      </c>
      <c r="AL63" s="530">
        <f t="shared" si="13"/>
        <v>0</v>
      </c>
      <c r="AM63" s="530">
        <f t="shared" si="14"/>
        <v>0</v>
      </c>
      <c r="AN63" s="531">
        <f t="shared" si="15"/>
        <v>0</v>
      </c>
      <c r="AO63" s="531">
        <f t="shared" si="16"/>
        <v>10106.049999999999</v>
      </c>
      <c r="AP63" s="531">
        <f t="shared" si="17"/>
        <v>0</v>
      </c>
      <c r="AQ63" s="531">
        <f t="shared" si="18"/>
        <v>0</v>
      </c>
      <c r="AR63" s="531">
        <f t="shared" si="19"/>
        <v>0</v>
      </c>
      <c r="AS63" s="531">
        <f t="shared" si="20"/>
        <v>0</v>
      </c>
      <c r="AT63" s="531">
        <f t="shared" si="21"/>
        <v>0</v>
      </c>
      <c r="AU63" s="531">
        <f t="shared" si="22"/>
        <v>0</v>
      </c>
      <c r="AV63" s="531">
        <f t="shared" si="23"/>
        <v>0</v>
      </c>
      <c r="AW63" s="531">
        <f t="shared" si="24"/>
        <v>0</v>
      </c>
      <c r="AX63" s="531">
        <f t="shared" si="25"/>
        <v>0</v>
      </c>
      <c r="AY63" s="531">
        <f t="shared" si="26"/>
        <v>0</v>
      </c>
      <c r="AZ63" s="510">
        <f t="shared" si="27"/>
        <v>10106.049999999999</v>
      </c>
      <c r="BA63" s="643"/>
    </row>
    <row r="64" spans="1:53" x14ac:dyDescent="0.2">
      <c r="A64" s="480">
        <v>64</v>
      </c>
      <c r="B64" s="637">
        <f t="shared" si="3"/>
        <v>57</v>
      </c>
      <c r="C64" s="672" t="s">
        <v>325</v>
      </c>
      <c r="D64" s="516">
        <v>835.58</v>
      </c>
      <c r="E64" s="517">
        <v>1044.48</v>
      </c>
      <c r="F64" s="517">
        <v>1065.3699999999999</v>
      </c>
      <c r="G64" s="518">
        <v>1201.1500000000001</v>
      </c>
      <c r="H64" s="518">
        <v>1441.38</v>
      </c>
      <c r="I64" s="532">
        <v>1441.38</v>
      </c>
      <c r="J64" s="520">
        <v>2162.06</v>
      </c>
      <c r="K64" s="521">
        <v>2702.58</v>
      </c>
      <c r="L64" s="522">
        <v>3513.35</v>
      </c>
      <c r="M64" s="523">
        <v>3513.35</v>
      </c>
      <c r="N64" s="522">
        <v>5445.7</v>
      </c>
      <c r="O64" s="524">
        <v>5445.7</v>
      </c>
      <c r="P64" s="525">
        <v>8767.6</v>
      </c>
      <c r="Q64" s="525">
        <v>8767.6</v>
      </c>
      <c r="R64" s="525">
        <v>2</v>
      </c>
      <c r="S64" s="525">
        <v>3</v>
      </c>
      <c r="T64" s="525">
        <v>4</v>
      </c>
      <c r="U64" s="525">
        <v>5</v>
      </c>
      <c r="V64" s="525">
        <v>6</v>
      </c>
      <c r="W64" s="525">
        <v>7</v>
      </c>
      <c r="X64" s="525">
        <v>8</v>
      </c>
      <c r="Y64" s="525">
        <v>9</v>
      </c>
      <c r="Z64" s="525">
        <v>10</v>
      </c>
      <c r="AA64" s="525">
        <v>11</v>
      </c>
      <c r="AB64" s="526">
        <f t="shared" si="4"/>
        <v>0</v>
      </c>
      <c r="AC64" s="527">
        <f t="shared" si="5"/>
        <v>0</v>
      </c>
      <c r="AD64" s="527">
        <f t="shared" si="6"/>
        <v>0</v>
      </c>
      <c r="AE64" s="528">
        <f t="shared" si="28"/>
        <v>0</v>
      </c>
      <c r="AF64" s="528">
        <f t="shared" si="7"/>
        <v>0</v>
      </c>
      <c r="AG64" s="528">
        <f t="shared" si="8"/>
        <v>0</v>
      </c>
      <c r="AH64" s="529">
        <f t="shared" si="9"/>
        <v>0</v>
      </c>
      <c r="AI64" s="530">
        <f t="shared" si="10"/>
        <v>0</v>
      </c>
      <c r="AJ64" s="530">
        <f t="shared" si="11"/>
        <v>0</v>
      </c>
      <c r="AK64" s="530">
        <f t="shared" si="12"/>
        <v>0</v>
      </c>
      <c r="AL64" s="530">
        <f t="shared" si="13"/>
        <v>0</v>
      </c>
      <c r="AM64" s="530">
        <f t="shared" si="14"/>
        <v>0</v>
      </c>
      <c r="AN64" s="531">
        <f t="shared" si="15"/>
        <v>0</v>
      </c>
      <c r="AO64" s="531">
        <f t="shared" si="16"/>
        <v>8767.6</v>
      </c>
      <c r="AP64" s="531">
        <f t="shared" si="17"/>
        <v>0</v>
      </c>
      <c r="AQ64" s="531">
        <f t="shared" si="18"/>
        <v>0</v>
      </c>
      <c r="AR64" s="531">
        <f t="shared" si="19"/>
        <v>0</v>
      </c>
      <c r="AS64" s="531">
        <f t="shared" si="20"/>
        <v>0</v>
      </c>
      <c r="AT64" s="531">
        <f t="shared" si="21"/>
        <v>0</v>
      </c>
      <c r="AU64" s="531">
        <f t="shared" si="22"/>
        <v>0</v>
      </c>
      <c r="AV64" s="531">
        <f t="shared" si="23"/>
        <v>0</v>
      </c>
      <c r="AW64" s="531">
        <f t="shared" si="24"/>
        <v>0</v>
      </c>
      <c r="AX64" s="531">
        <f t="shared" si="25"/>
        <v>0</v>
      </c>
      <c r="AY64" s="531">
        <f t="shared" si="26"/>
        <v>0</v>
      </c>
      <c r="AZ64" s="510">
        <f t="shared" si="27"/>
        <v>8767.6</v>
      </c>
      <c r="BA64" s="643"/>
    </row>
    <row r="65" spans="1:53" x14ac:dyDescent="0.2">
      <c r="A65" s="480">
        <v>65</v>
      </c>
      <c r="B65" s="637">
        <f t="shared" si="3"/>
        <v>58</v>
      </c>
      <c r="C65" s="672" t="s">
        <v>326</v>
      </c>
      <c r="D65" s="516">
        <v>835.58</v>
      </c>
      <c r="E65" s="517">
        <v>1044.48</v>
      </c>
      <c r="F65" s="517">
        <v>1065.3699999999999</v>
      </c>
      <c r="G65" s="518">
        <v>1201.1500000000001</v>
      </c>
      <c r="H65" s="518">
        <v>1441.38</v>
      </c>
      <c r="I65" s="532">
        <v>1441.38</v>
      </c>
      <c r="J65" s="520">
        <v>2162.06</v>
      </c>
      <c r="K65" s="521">
        <v>2702.58</v>
      </c>
      <c r="L65" s="522">
        <v>3513.35</v>
      </c>
      <c r="M65" s="523">
        <v>3513.35</v>
      </c>
      <c r="N65" s="522">
        <v>5445.7</v>
      </c>
      <c r="O65" s="524">
        <v>5445.7</v>
      </c>
      <c r="P65" s="525">
        <v>8767.6</v>
      </c>
      <c r="Q65" s="525">
        <v>8767.6</v>
      </c>
      <c r="R65" s="525">
        <v>2</v>
      </c>
      <c r="S65" s="525">
        <v>3</v>
      </c>
      <c r="T65" s="525">
        <v>4</v>
      </c>
      <c r="U65" s="525">
        <v>5</v>
      </c>
      <c r="V65" s="525">
        <v>6</v>
      </c>
      <c r="W65" s="525">
        <v>7</v>
      </c>
      <c r="X65" s="525">
        <v>8</v>
      </c>
      <c r="Y65" s="525">
        <v>9</v>
      </c>
      <c r="Z65" s="525">
        <v>10</v>
      </c>
      <c r="AA65" s="525">
        <v>11</v>
      </c>
      <c r="AB65" s="526">
        <f t="shared" si="4"/>
        <v>0</v>
      </c>
      <c r="AC65" s="527">
        <f t="shared" si="5"/>
        <v>0</v>
      </c>
      <c r="AD65" s="527">
        <f t="shared" si="6"/>
        <v>0</v>
      </c>
      <c r="AE65" s="528">
        <f t="shared" si="28"/>
        <v>0</v>
      </c>
      <c r="AF65" s="528">
        <f t="shared" si="7"/>
        <v>0</v>
      </c>
      <c r="AG65" s="528">
        <f t="shared" si="8"/>
        <v>0</v>
      </c>
      <c r="AH65" s="529">
        <f t="shared" si="9"/>
        <v>0</v>
      </c>
      <c r="AI65" s="530">
        <f t="shared" si="10"/>
        <v>0</v>
      </c>
      <c r="AJ65" s="530">
        <f t="shared" si="11"/>
        <v>0</v>
      </c>
      <c r="AK65" s="530">
        <f t="shared" si="12"/>
        <v>0</v>
      </c>
      <c r="AL65" s="530">
        <f t="shared" si="13"/>
        <v>0</v>
      </c>
      <c r="AM65" s="530">
        <f t="shared" si="14"/>
        <v>0</v>
      </c>
      <c r="AN65" s="531">
        <f t="shared" si="15"/>
        <v>0</v>
      </c>
      <c r="AO65" s="531">
        <f t="shared" si="16"/>
        <v>8767.6</v>
      </c>
      <c r="AP65" s="531">
        <f t="shared" si="17"/>
        <v>0</v>
      </c>
      <c r="AQ65" s="531">
        <f t="shared" si="18"/>
        <v>0</v>
      </c>
      <c r="AR65" s="531">
        <f t="shared" si="19"/>
        <v>0</v>
      </c>
      <c r="AS65" s="531">
        <f t="shared" si="20"/>
        <v>0</v>
      </c>
      <c r="AT65" s="531">
        <f t="shared" si="21"/>
        <v>0</v>
      </c>
      <c r="AU65" s="531">
        <f t="shared" si="22"/>
        <v>0</v>
      </c>
      <c r="AV65" s="531">
        <f t="shared" si="23"/>
        <v>0</v>
      </c>
      <c r="AW65" s="531">
        <f t="shared" si="24"/>
        <v>0</v>
      </c>
      <c r="AX65" s="531">
        <f t="shared" si="25"/>
        <v>0</v>
      </c>
      <c r="AY65" s="531">
        <f t="shared" si="26"/>
        <v>0</v>
      </c>
      <c r="AZ65" s="510">
        <f t="shared" si="27"/>
        <v>8767.6</v>
      </c>
      <c r="BA65" s="643"/>
    </row>
    <row r="66" spans="1:53" x14ac:dyDescent="0.2">
      <c r="A66" s="480">
        <v>66</v>
      </c>
      <c r="B66" s="637">
        <f t="shared" si="3"/>
        <v>59</v>
      </c>
      <c r="C66" s="672" t="s">
        <v>327</v>
      </c>
      <c r="D66" s="516">
        <v>675.06</v>
      </c>
      <c r="E66" s="517">
        <v>843.83</v>
      </c>
      <c r="F66" s="517">
        <v>860.71</v>
      </c>
      <c r="G66" s="518">
        <v>970.4</v>
      </c>
      <c r="H66" s="518">
        <v>1164.48</v>
      </c>
      <c r="I66" s="519">
        <v>1354.61</v>
      </c>
      <c r="J66" s="520">
        <v>1746.72</v>
      </c>
      <c r="K66" s="521">
        <v>2183.4</v>
      </c>
      <c r="L66" s="522">
        <v>2838.42</v>
      </c>
      <c r="M66" s="523">
        <v>3251.05</v>
      </c>
      <c r="N66" s="522">
        <v>4399.55</v>
      </c>
      <c r="O66" s="524">
        <v>4551.47</v>
      </c>
      <c r="P66" s="525">
        <v>7083.28</v>
      </c>
      <c r="Q66" s="525">
        <v>7083.28</v>
      </c>
      <c r="R66" s="525">
        <v>2</v>
      </c>
      <c r="S66" s="525">
        <v>3</v>
      </c>
      <c r="T66" s="525">
        <v>4</v>
      </c>
      <c r="U66" s="525">
        <v>5</v>
      </c>
      <c r="V66" s="525">
        <v>6</v>
      </c>
      <c r="W66" s="525">
        <v>7</v>
      </c>
      <c r="X66" s="525">
        <v>8</v>
      </c>
      <c r="Y66" s="525">
        <v>9</v>
      </c>
      <c r="Z66" s="525">
        <v>10</v>
      </c>
      <c r="AA66" s="525">
        <v>11</v>
      </c>
      <c r="AB66" s="526">
        <f t="shared" si="4"/>
        <v>0</v>
      </c>
      <c r="AC66" s="527">
        <f t="shared" si="5"/>
        <v>0</v>
      </c>
      <c r="AD66" s="527">
        <f t="shared" si="6"/>
        <v>0</v>
      </c>
      <c r="AE66" s="528">
        <f t="shared" si="28"/>
        <v>0</v>
      </c>
      <c r="AF66" s="528">
        <f t="shared" si="7"/>
        <v>0</v>
      </c>
      <c r="AG66" s="528">
        <f t="shared" si="8"/>
        <v>0</v>
      </c>
      <c r="AH66" s="529">
        <f t="shared" si="9"/>
        <v>0</v>
      </c>
      <c r="AI66" s="530">
        <f t="shared" si="10"/>
        <v>0</v>
      </c>
      <c r="AJ66" s="530">
        <f t="shared" si="11"/>
        <v>0</v>
      </c>
      <c r="AK66" s="530">
        <f t="shared" si="12"/>
        <v>0</v>
      </c>
      <c r="AL66" s="530">
        <f t="shared" si="13"/>
        <v>0</v>
      </c>
      <c r="AM66" s="530">
        <f t="shared" si="14"/>
        <v>0</v>
      </c>
      <c r="AN66" s="531">
        <f t="shared" si="15"/>
        <v>0</v>
      </c>
      <c r="AO66" s="531">
        <f t="shared" si="16"/>
        <v>7083.28</v>
      </c>
      <c r="AP66" s="531">
        <f t="shared" si="17"/>
        <v>0</v>
      </c>
      <c r="AQ66" s="531">
        <f t="shared" si="18"/>
        <v>0</v>
      </c>
      <c r="AR66" s="531">
        <f t="shared" si="19"/>
        <v>0</v>
      </c>
      <c r="AS66" s="531">
        <f t="shared" si="20"/>
        <v>0</v>
      </c>
      <c r="AT66" s="531">
        <f t="shared" si="21"/>
        <v>0</v>
      </c>
      <c r="AU66" s="531">
        <f t="shared" si="22"/>
        <v>0</v>
      </c>
      <c r="AV66" s="531">
        <f t="shared" si="23"/>
        <v>0</v>
      </c>
      <c r="AW66" s="531">
        <f t="shared" si="24"/>
        <v>0</v>
      </c>
      <c r="AX66" s="531">
        <f t="shared" si="25"/>
        <v>0</v>
      </c>
      <c r="AY66" s="531">
        <f t="shared" si="26"/>
        <v>0</v>
      </c>
      <c r="AZ66" s="510">
        <f t="shared" si="27"/>
        <v>7083.28</v>
      </c>
      <c r="BA66" s="643"/>
    </row>
    <row r="67" spans="1:53" x14ac:dyDescent="0.2">
      <c r="A67" s="480">
        <v>67</v>
      </c>
      <c r="B67" s="637">
        <f t="shared" si="3"/>
        <v>60</v>
      </c>
      <c r="C67" s="672" t="s">
        <v>328</v>
      </c>
      <c r="D67" s="516">
        <v>626.22</v>
      </c>
      <c r="E67" s="517">
        <v>782.78</v>
      </c>
      <c r="F67" s="517">
        <v>798.44</v>
      </c>
      <c r="G67" s="518">
        <v>900.2</v>
      </c>
      <c r="H67" s="518">
        <v>1080.23</v>
      </c>
      <c r="I67" s="519">
        <v>1354.61</v>
      </c>
      <c r="J67" s="520">
        <v>1620.34</v>
      </c>
      <c r="K67" s="521">
        <v>2167.37</v>
      </c>
      <c r="L67" s="522">
        <v>2633.06</v>
      </c>
      <c r="M67" s="523">
        <v>3251.05</v>
      </c>
      <c r="N67" s="522">
        <v>4081.24</v>
      </c>
      <c r="O67" s="524">
        <v>4551.47</v>
      </c>
      <c r="P67" s="525">
        <v>6570.8</v>
      </c>
      <c r="Q67" s="525">
        <v>6570.8</v>
      </c>
      <c r="R67" s="525">
        <v>2</v>
      </c>
      <c r="S67" s="525">
        <v>3</v>
      </c>
      <c r="T67" s="525">
        <v>4</v>
      </c>
      <c r="U67" s="525">
        <v>5</v>
      </c>
      <c r="V67" s="525">
        <v>6</v>
      </c>
      <c r="W67" s="525">
        <v>7</v>
      </c>
      <c r="X67" s="525">
        <v>8</v>
      </c>
      <c r="Y67" s="525">
        <v>9</v>
      </c>
      <c r="Z67" s="525">
        <v>10</v>
      </c>
      <c r="AA67" s="525">
        <v>11</v>
      </c>
      <c r="AB67" s="526">
        <f t="shared" si="4"/>
        <v>0</v>
      </c>
      <c r="AC67" s="527">
        <f t="shared" si="5"/>
        <v>0</v>
      </c>
      <c r="AD67" s="527">
        <f t="shared" si="6"/>
        <v>0</v>
      </c>
      <c r="AE67" s="528">
        <f t="shared" si="28"/>
        <v>0</v>
      </c>
      <c r="AF67" s="528">
        <f t="shared" si="7"/>
        <v>0</v>
      </c>
      <c r="AG67" s="528">
        <f t="shared" si="8"/>
        <v>0</v>
      </c>
      <c r="AH67" s="529">
        <f t="shared" si="9"/>
        <v>0</v>
      </c>
      <c r="AI67" s="530">
        <f t="shared" si="10"/>
        <v>0</v>
      </c>
      <c r="AJ67" s="530">
        <f t="shared" si="11"/>
        <v>0</v>
      </c>
      <c r="AK67" s="530">
        <f t="shared" si="12"/>
        <v>0</v>
      </c>
      <c r="AL67" s="530">
        <f t="shared" si="13"/>
        <v>0</v>
      </c>
      <c r="AM67" s="530">
        <f t="shared" si="14"/>
        <v>0</v>
      </c>
      <c r="AN67" s="531">
        <f t="shared" si="15"/>
        <v>0</v>
      </c>
      <c r="AO67" s="531">
        <f t="shared" si="16"/>
        <v>6570.8</v>
      </c>
      <c r="AP67" s="531">
        <f t="shared" si="17"/>
        <v>0</v>
      </c>
      <c r="AQ67" s="531">
        <f t="shared" si="18"/>
        <v>0</v>
      </c>
      <c r="AR67" s="531">
        <f t="shared" si="19"/>
        <v>0</v>
      </c>
      <c r="AS67" s="531">
        <f t="shared" si="20"/>
        <v>0</v>
      </c>
      <c r="AT67" s="531">
        <f t="shared" si="21"/>
        <v>0</v>
      </c>
      <c r="AU67" s="531">
        <f t="shared" si="22"/>
        <v>0</v>
      </c>
      <c r="AV67" s="531">
        <f t="shared" si="23"/>
        <v>0</v>
      </c>
      <c r="AW67" s="531">
        <f t="shared" si="24"/>
        <v>0</v>
      </c>
      <c r="AX67" s="531">
        <f t="shared" si="25"/>
        <v>0</v>
      </c>
      <c r="AY67" s="531">
        <f t="shared" si="26"/>
        <v>0</v>
      </c>
      <c r="AZ67" s="510">
        <f t="shared" si="27"/>
        <v>6570.8</v>
      </c>
      <c r="BA67" s="643"/>
    </row>
    <row r="68" spans="1:53" x14ac:dyDescent="0.2">
      <c r="A68" s="480">
        <v>68</v>
      </c>
      <c r="B68" s="637">
        <f t="shared" si="3"/>
        <v>61</v>
      </c>
      <c r="C68" s="672" t="s">
        <v>329</v>
      </c>
      <c r="D68" s="516">
        <v>690.68</v>
      </c>
      <c r="E68" s="517">
        <v>863.35</v>
      </c>
      <c r="F68" s="517">
        <v>880.62</v>
      </c>
      <c r="G68" s="518">
        <v>992.85</v>
      </c>
      <c r="H68" s="518">
        <v>1191.42</v>
      </c>
      <c r="I68" s="519">
        <v>1354.61</v>
      </c>
      <c r="J68" s="520">
        <v>1787.13</v>
      </c>
      <c r="K68" s="521">
        <v>2233.92</v>
      </c>
      <c r="L68" s="522">
        <v>2904.09</v>
      </c>
      <c r="M68" s="523">
        <v>3251.05</v>
      </c>
      <c r="N68" s="522">
        <v>4501.3500000000004</v>
      </c>
      <c r="O68" s="524">
        <v>4551.47</v>
      </c>
      <c r="P68" s="525">
        <v>7247.15</v>
      </c>
      <c r="Q68" s="525">
        <v>7247.15</v>
      </c>
      <c r="R68" s="525">
        <v>2</v>
      </c>
      <c r="S68" s="525">
        <v>3</v>
      </c>
      <c r="T68" s="525">
        <v>4</v>
      </c>
      <c r="U68" s="525">
        <v>5</v>
      </c>
      <c r="V68" s="525">
        <v>6</v>
      </c>
      <c r="W68" s="525">
        <v>7</v>
      </c>
      <c r="X68" s="525">
        <v>8</v>
      </c>
      <c r="Y68" s="525">
        <v>9</v>
      </c>
      <c r="Z68" s="525">
        <v>10</v>
      </c>
      <c r="AA68" s="525">
        <v>11</v>
      </c>
      <c r="AB68" s="526">
        <f t="shared" si="4"/>
        <v>0</v>
      </c>
      <c r="AC68" s="527">
        <f t="shared" si="5"/>
        <v>0</v>
      </c>
      <c r="AD68" s="527">
        <f t="shared" si="6"/>
        <v>0</v>
      </c>
      <c r="AE68" s="528">
        <f t="shared" si="28"/>
        <v>0</v>
      </c>
      <c r="AF68" s="528">
        <f t="shared" si="7"/>
        <v>0</v>
      </c>
      <c r="AG68" s="528">
        <f t="shared" si="8"/>
        <v>0</v>
      </c>
      <c r="AH68" s="529">
        <f t="shared" si="9"/>
        <v>0</v>
      </c>
      <c r="AI68" s="530">
        <f t="shared" si="10"/>
        <v>0</v>
      </c>
      <c r="AJ68" s="530">
        <f t="shared" si="11"/>
        <v>0</v>
      </c>
      <c r="AK68" s="530">
        <f t="shared" si="12"/>
        <v>0</v>
      </c>
      <c r="AL68" s="530">
        <f t="shared" si="13"/>
        <v>0</v>
      </c>
      <c r="AM68" s="530">
        <f t="shared" si="14"/>
        <v>0</v>
      </c>
      <c r="AN68" s="531">
        <f t="shared" si="15"/>
        <v>0</v>
      </c>
      <c r="AO68" s="531">
        <f t="shared" si="16"/>
        <v>7247.15</v>
      </c>
      <c r="AP68" s="531">
        <f t="shared" si="17"/>
        <v>0</v>
      </c>
      <c r="AQ68" s="531">
        <f t="shared" si="18"/>
        <v>0</v>
      </c>
      <c r="AR68" s="531">
        <f t="shared" si="19"/>
        <v>0</v>
      </c>
      <c r="AS68" s="531">
        <f t="shared" si="20"/>
        <v>0</v>
      </c>
      <c r="AT68" s="531">
        <f t="shared" si="21"/>
        <v>0</v>
      </c>
      <c r="AU68" s="531">
        <f t="shared" si="22"/>
        <v>0</v>
      </c>
      <c r="AV68" s="531">
        <f t="shared" si="23"/>
        <v>0</v>
      </c>
      <c r="AW68" s="531">
        <f t="shared" si="24"/>
        <v>0</v>
      </c>
      <c r="AX68" s="531">
        <f t="shared" si="25"/>
        <v>0</v>
      </c>
      <c r="AY68" s="531">
        <f t="shared" si="26"/>
        <v>0</v>
      </c>
      <c r="AZ68" s="510">
        <f t="shared" si="27"/>
        <v>7247.15</v>
      </c>
      <c r="BA68" s="643"/>
    </row>
    <row r="69" spans="1:53" x14ac:dyDescent="0.2">
      <c r="A69" s="480">
        <v>69</v>
      </c>
      <c r="B69" s="637">
        <f t="shared" si="3"/>
        <v>62</v>
      </c>
      <c r="C69" s="672" t="s">
        <v>330</v>
      </c>
      <c r="D69" s="516">
        <v>675.06</v>
      </c>
      <c r="E69" s="517">
        <v>843.83</v>
      </c>
      <c r="F69" s="517">
        <v>860.71</v>
      </c>
      <c r="G69" s="518">
        <v>970.4</v>
      </c>
      <c r="H69" s="518">
        <v>1164.48</v>
      </c>
      <c r="I69" s="519">
        <v>1354.61</v>
      </c>
      <c r="J69" s="520">
        <v>1746.72</v>
      </c>
      <c r="K69" s="521">
        <v>2183.4</v>
      </c>
      <c r="L69" s="522">
        <v>2838.42</v>
      </c>
      <c r="M69" s="523">
        <v>3251.05</v>
      </c>
      <c r="N69" s="522">
        <v>4399.55</v>
      </c>
      <c r="O69" s="524">
        <v>4551.47</v>
      </c>
      <c r="P69" s="525">
        <v>7083.28</v>
      </c>
      <c r="Q69" s="525">
        <v>7083.28</v>
      </c>
      <c r="R69" s="525">
        <v>2</v>
      </c>
      <c r="S69" s="525">
        <v>3</v>
      </c>
      <c r="T69" s="525">
        <v>4</v>
      </c>
      <c r="U69" s="525">
        <v>5</v>
      </c>
      <c r="V69" s="525">
        <v>6</v>
      </c>
      <c r="W69" s="525">
        <v>7</v>
      </c>
      <c r="X69" s="525">
        <v>8</v>
      </c>
      <c r="Y69" s="525">
        <v>9</v>
      </c>
      <c r="Z69" s="525">
        <v>10</v>
      </c>
      <c r="AA69" s="525">
        <v>11</v>
      </c>
      <c r="AB69" s="526">
        <f t="shared" si="4"/>
        <v>0</v>
      </c>
      <c r="AC69" s="527">
        <f t="shared" si="5"/>
        <v>0</v>
      </c>
      <c r="AD69" s="527">
        <f t="shared" si="6"/>
        <v>0</v>
      </c>
      <c r="AE69" s="528">
        <f t="shared" si="28"/>
        <v>0</v>
      </c>
      <c r="AF69" s="528">
        <f t="shared" si="7"/>
        <v>0</v>
      </c>
      <c r="AG69" s="528">
        <f t="shared" si="8"/>
        <v>0</v>
      </c>
      <c r="AH69" s="529">
        <f t="shared" si="9"/>
        <v>0</v>
      </c>
      <c r="AI69" s="530">
        <f t="shared" si="10"/>
        <v>0</v>
      </c>
      <c r="AJ69" s="530">
        <f t="shared" si="11"/>
        <v>0</v>
      </c>
      <c r="AK69" s="530">
        <f t="shared" si="12"/>
        <v>0</v>
      </c>
      <c r="AL69" s="530">
        <f t="shared" si="13"/>
        <v>0</v>
      </c>
      <c r="AM69" s="530">
        <f t="shared" si="14"/>
        <v>0</v>
      </c>
      <c r="AN69" s="531">
        <f t="shared" si="15"/>
        <v>0</v>
      </c>
      <c r="AO69" s="531">
        <f t="shared" si="16"/>
        <v>7083.28</v>
      </c>
      <c r="AP69" s="531">
        <f t="shared" si="17"/>
        <v>0</v>
      </c>
      <c r="AQ69" s="531">
        <f t="shared" si="18"/>
        <v>0</v>
      </c>
      <c r="AR69" s="531">
        <f t="shared" si="19"/>
        <v>0</v>
      </c>
      <c r="AS69" s="531">
        <f t="shared" si="20"/>
        <v>0</v>
      </c>
      <c r="AT69" s="531">
        <f t="shared" si="21"/>
        <v>0</v>
      </c>
      <c r="AU69" s="531">
        <f t="shared" si="22"/>
        <v>0</v>
      </c>
      <c r="AV69" s="531">
        <f t="shared" si="23"/>
        <v>0</v>
      </c>
      <c r="AW69" s="531">
        <f t="shared" si="24"/>
        <v>0</v>
      </c>
      <c r="AX69" s="531">
        <f t="shared" si="25"/>
        <v>0</v>
      </c>
      <c r="AY69" s="531">
        <f t="shared" si="26"/>
        <v>0</v>
      </c>
      <c r="AZ69" s="510">
        <f t="shared" si="27"/>
        <v>7083.28</v>
      </c>
      <c r="BA69" s="643"/>
    </row>
    <row r="70" spans="1:53" x14ac:dyDescent="0.2">
      <c r="A70" s="480">
        <v>70</v>
      </c>
      <c r="B70" s="637">
        <f t="shared" si="3"/>
        <v>63</v>
      </c>
      <c r="C70" s="672" t="s">
        <v>331</v>
      </c>
      <c r="D70" s="516">
        <v>835.58</v>
      </c>
      <c r="E70" s="517">
        <v>1044.48</v>
      </c>
      <c r="F70" s="517">
        <v>1065.3699999999999</v>
      </c>
      <c r="G70" s="518">
        <v>1201.1500000000001</v>
      </c>
      <c r="H70" s="518">
        <v>1441.38</v>
      </c>
      <c r="I70" s="532">
        <v>1441.38</v>
      </c>
      <c r="J70" s="520">
        <v>2162.06</v>
      </c>
      <c r="K70" s="521">
        <v>2702.58</v>
      </c>
      <c r="L70" s="522">
        <v>3513.35</v>
      </c>
      <c r="M70" s="523">
        <v>3513.35</v>
      </c>
      <c r="N70" s="522">
        <v>5445.7</v>
      </c>
      <c r="O70" s="524">
        <v>5445.7</v>
      </c>
      <c r="P70" s="525">
        <v>8767.6</v>
      </c>
      <c r="Q70" s="525">
        <v>8767.6</v>
      </c>
      <c r="R70" s="525">
        <v>2</v>
      </c>
      <c r="S70" s="525">
        <v>3</v>
      </c>
      <c r="T70" s="525">
        <v>4</v>
      </c>
      <c r="U70" s="525">
        <v>5</v>
      </c>
      <c r="V70" s="525">
        <v>6</v>
      </c>
      <c r="W70" s="525">
        <v>7</v>
      </c>
      <c r="X70" s="525">
        <v>8</v>
      </c>
      <c r="Y70" s="525">
        <v>9</v>
      </c>
      <c r="Z70" s="525">
        <v>10</v>
      </c>
      <c r="AA70" s="525">
        <v>11</v>
      </c>
      <c r="AB70" s="526">
        <f t="shared" si="4"/>
        <v>0</v>
      </c>
      <c r="AC70" s="527">
        <f t="shared" si="5"/>
        <v>0</v>
      </c>
      <c r="AD70" s="527">
        <f t="shared" si="6"/>
        <v>0</v>
      </c>
      <c r="AE70" s="528">
        <f t="shared" si="28"/>
        <v>0</v>
      </c>
      <c r="AF70" s="528">
        <f t="shared" si="7"/>
        <v>0</v>
      </c>
      <c r="AG70" s="528">
        <f t="shared" si="8"/>
        <v>0</v>
      </c>
      <c r="AH70" s="529">
        <f t="shared" si="9"/>
        <v>0</v>
      </c>
      <c r="AI70" s="530">
        <f t="shared" si="10"/>
        <v>0</v>
      </c>
      <c r="AJ70" s="530">
        <f t="shared" si="11"/>
        <v>0</v>
      </c>
      <c r="AK70" s="530">
        <f t="shared" si="12"/>
        <v>0</v>
      </c>
      <c r="AL70" s="530">
        <f t="shared" si="13"/>
        <v>0</v>
      </c>
      <c r="AM70" s="530">
        <f t="shared" si="14"/>
        <v>0</v>
      </c>
      <c r="AN70" s="531">
        <f t="shared" si="15"/>
        <v>0</v>
      </c>
      <c r="AO70" s="531">
        <f t="shared" si="16"/>
        <v>8767.6</v>
      </c>
      <c r="AP70" s="531">
        <f t="shared" si="17"/>
        <v>0</v>
      </c>
      <c r="AQ70" s="531">
        <f t="shared" si="18"/>
        <v>0</v>
      </c>
      <c r="AR70" s="531">
        <f t="shared" si="19"/>
        <v>0</v>
      </c>
      <c r="AS70" s="531">
        <f t="shared" si="20"/>
        <v>0</v>
      </c>
      <c r="AT70" s="531">
        <f t="shared" si="21"/>
        <v>0</v>
      </c>
      <c r="AU70" s="531">
        <f t="shared" si="22"/>
        <v>0</v>
      </c>
      <c r="AV70" s="531">
        <f t="shared" si="23"/>
        <v>0</v>
      </c>
      <c r="AW70" s="531">
        <f t="shared" si="24"/>
        <v>0</v>
      </c>
      <c r="AX70" s="531">
        <f t="shared" si="25"/>
        <v>0</v>
      </c>
      <c r="AY70" s="531">
        <f t="shared" si="26"/>
        <v>0</v>
      </c>
      <c r="AZ70" s="510">
        <f t="shared" si="27"/>
        <v>8767.6</v>
      </c>
      <c r="BA70" s="643"/>
    </row>
    <row r="71" spans="1:53" x14ac:dyDescent="0.2">
      <c r="A71" s="480">
        <v>71</v>
      </c>
      <c r="B71" s="637">
        <f t="shared" si="3"/>
        <v>64</v>
      </c>
      <c r="C71" s="672" t="s">
        <v>332</v>
      </c>
      <c r="D71" s="516">
        <v>755.02</v>
      </c>
      <c r="E71" s="517">
        <v>943.78</v>
      </c>
      <c r="F71" s="517">
        <v>962.66</v>
      </c>
      <c r="G71" s="518">
        <v>1085.3499999999999</v>
      </c>
      <c r="H71" s="518">
        <v>1302.4100000000001</v>
      </c>
      <c r="I71" s="519">
        <v>1354.61</v>
      </c>
      <c r="J71" s="520">
        <v>1953.61</v>
      </c>
      <c r="K71" s="521">
        <v>2442.02</v>
      </c>
      <c r="L71" s="522">
        <v>3174.62</v>
      </c>
      <c r="M71" s="523">
        <v>3251.05</v>
      </c>
      <c r="N71" s="522">
        <v>4920.67</v>
      </c>
      <c r="O71" s="524">
        <v>4920.67</v>
      </c>
      <c r="P71" s="525">
        <v>7922.28</v>
      </c>
      <c r="Q71" s="525">
        <v>7922.28</v>
      </c>
      <c r="R71" s="525">
        <v>2</v>
      </c>
      <c r="S71" s="525">
        <v>3</v>
      </c>
      <c r="T71" s="525">
        <v>4</v>
      </c>
      <c r="U71" s="525">
        <v>5</v>
      </c>
      <c r="V71" s="525">
        <v>6</v>
      </c>
      <c r="W71" s="525">
        <v>7</v>
      </c>
      <c r="X71" s="525">
        <v>8</v>
      </c>
      <c r="Y71" s="525">
        <v>9</v>
      </c>
      <c r="Z71" s="525">
        <v>10</v>
      </c>
      <c r="AA71" s="525">
        <v>11</v>
      </c>
      <c r="AB71" s="526">
        <f t="shared" si="4"/>
        <v>0</v>
      </c>
      <c r="AC71" s="527">
        <f t="shared" si="5"/>
        <v>0</v>
      </c>
      <c r="AD71" s="527">
        <f t="shared" si="6"/>
        <v>0</v>
      </c>
      <c r="AE71" s="528">
        <f t="shared" si="28"/>
        <v>0</v>
      </c>
      <c r="AF71" s="528">
        <f t="shared" si="7"/>
        <v>0</v>
      </c>
      <c r="AG71" s="528">
        <f t="shared" si="8"/>
        <v>0</v>
      </c>
      <c r="AH71" s="529">
        <f t="shared" si="9"/>
        <v>0</v>
      </c>
      <c r="AI71" s="530">
        <f t="shared" si="10"/>
        <v>0</v>
      </c>
      <c r="AJ71" s="530">
        <f t="shared" si="11"/>
        <v>0</v>
      </c>
      <c r="AK71" s="530">
        <f t="shared" si="12"/>
        <v>0</v>
      </c>
      <c r="AL71" s="530">
        <f t="shared" si="13"/>
        <v>0</v>
      </c>
      <c r="AM71" s="530">
        <f t="shared" si="14"/>
        <v>0</v>
      </c>
      <c r="AN71" s="531">
        <f t="shared" si="15"/>
        <v>0</v>
      </c>
      <c r="AO71" s="531">
        <f t="shared" si="16"/>
        <v>7922.28</v>
      </c>
      <c r="AP71" s="531">
        <f t="shared" si="17"/>
        <v>0</v>
      </c>
      <c r="AQ71" s="531">
        <f t="shared" si="18"/>
        <v>0</v>
      </c>
      <c r="AR71" s="531">
        <f t="shared" si="19"/>
        <v>0</v>
      </c>
      <c r="AS71" s="531">
        <f t="shared" si="20"/>
        <v>0</v>
      </c>
      <c r="AT71" s="531">
        <f t="shared" si="21"/>
        <v>0</v>
      </c>
      <c r="AU71" s="531">
        <f t="shared" si="22"/>
        <v>0</v>
      </c>
      <c r="AV71" s="531">
        <f t="shared" si="23"/>
        <v>0</v>
      </c>
      <c r="AW71" s="531">
        <f t="shared" si="24"/>
        <v>0</v>
      </c>
      <c r="AX71" s="531">
        <f t="shared" si="25"/>
        <v>0</v>
      </c>
      <c r="AY71" s="531">
        <f t="shared" si="26"/>
        <v>0</v>
      </c>
      <c r="AZ71" s="510">
        <f t="shared" si="27"/>
        <v>7922.28</v>
      </c>
      <c r="BA71" s="643"/>
    </row>
    <row r="72" spans="1:53" x14ac:dyDescent="0.2">
      <c r="A72" s="480">
        <v>72</v>
      </c>
      <c r="B72" s="637">
        <f t="shared" si="3"/>
        <v>65</v>
      </c>
      <c r="C72" s="672" t="s">
        <v>333</v>
      </c>
      <c r="D72" s="516">
        <v>835.58</v>
      </c>
      <c r="E72" s="517">
        <v>1044.48</v>
      </c>
      <c r="F72" s="517">
        <v>1065.3699999999999</v>
      </c>
      <c r="G72" s="518">
        <v>1201.1500000000001</v>
      </c>
      <c r="H72" s="518">
        <v>1441.38</v>
      </c>
      <c r="I72" s="532">
        <v>1441.38</v>
      </c>
      <c r="J72" s="520">
        <v>2162.06</v>
      </c>
      <c r="K72" s="521">
        <v>2702.58</v>
      </c>
      <c r="L72" s="522">
        <v>3513.65</v>
      </c>
      <c r="M72" s="523">
        <v>3513.65</v>
      </c>
      <c r="N72" s="522">
        <v>5393.3</v>
      </c>
      <c r="O72" s="524">
        <v>5393.3</v>
      </c>
      <c r="P72" s="525">
        <v>8767.6</v>
      </c>
      <c r="Q72" s="525">
        <v>8767.6</v>
      </c>
      <c r="R72" s="525">
        <v>2</v>
      </c>
      <c r="S72" s="525">
        <v>3</v>
      </c>
      <c r="T72" s="525">
        <v>4</v>
      </c>
      <c r="U72" s="525">
        <v>5</v>
      </c>
      <c r="V72" s="525">
        <v>6</v>
      </c>
      <c r="W72" s="525">
        <v>7</v>
      </c>
      <c r="X72" s="525">
        <v>8</v>
      </c>
      <c r="Y72" s="525">
        <v>9</v>
      </c>
      <c r="Z72" s="525">
        <v>10</v>
      </c>
      <c r="AA72" s="525">
        <v>11</v>
      </c>
      <c r="AB72" s="526">
        <f t="shared" si="4"/>
        <v>0</v>
      </c>
      <c r="AC72" s="527">
        <f t="shared" si="5"/>
        <v>0</v>
      </c>
      <c r="AD72" s="527">
        <f t="shared" si="6"/>
        <v>0</v>
      </c>
      <c r="AE72" s="528">
        <f t="shared" si="28"/>
        <v>0</v>
      </c>
      <c r="AF72" s="528">
        <f t="shared" si="7"/>
        <v>0</v>
      </c>
      <c r="AG72" s="528">
        <f t="shared" si="8"/>
        <v>0</v>
      </c>
      <c r="AH72" s="529">
        <f t="shared" si="9"/>
        <v>0</v>
      </c>
      <c r="AI72" s="530">
        <f t="shared" si="10"/>
        <v>0</v>
      </c>
      <c r="AJ72" s="530">
        <f t="shared" si="11"/>
        <v>0</v>
      </c>
      <c r="AK72" s="530">
        <f t="shared" si="12"/>
        <v>0</v>
      </c>
      <c r="AL72" s="530">
        <f t="shared" si="13"/>
        <v>0</v>
      </c>
      <c r="AM72" s="530">
        <f t="shared" si="14"/>
        <v>0</v>
      </c>
      <c r="AN72" s="531">
        <f t="shared" si="15"/>
        <v>0</v>
      </c>
      <c r="AO72" s="531">
        <f t="shared" si="16"/>
        <v>8767.6</v>
      </c>
      <c r="AP72" s="531">
        <f t="shared" si="17"/>
        <v>0</v>
      </c>
      <c r="AQ72" s="531">
        <f t="shared" si="18"/>
        <v>0</v>
      </c>
      <c r="AR72" s="531">
        <f t="shared" si="19"/>
        <v>0</v>
      </c>
      <c r="AS72" s="531">
        <f t="shared" si="20"/>
        <v>0</v>
      </c>
      <c r="AT72" s="531">
        <f t="shared" si="21"/>
        <v>0</v>
      </c>
      <c r="AU72" s="531">
        <f t="shared" si="22"/>
        <v>0</v>
      </c>
      <c r="AV72" s="531">
        <f t="shared" si="23"/>
        <v>0</v>
      </c>
      <c r="AW72" s="531">
        <f t="shared" si="24"/>
        <v>0</v>
      </c>
      <c r="AX72" s="531">
        <f t="shared" si="25"/>
        <v>0</v>
      </c>
      <c r="AY72" s="531">
        <f t="shared" si="26"/>
        <v>0</v>
      </c>
      <c r="AZ72" s="510">
        <f t="shared" si="27"/>
        <v>8767.6</v>
      </c>
      <c r="BA72" s="643"/>
    </row>
    <row r="73" spans="1:53" x14ac:dyDescent="0.2">
      <c r="A73" s="480">
        <v>73</v>
      </c>
      <c r="B73" s="637">
        <f t="shared" si="3"/>
        <v>66</v>
      </c>
      <c r="C73" s="672" t="s">
        <v>334</v>
      </c>
      <c r="D73" s="516">
        <v>755.02</v>
      </c>
      <c r="E73" s="517">
        <v>943.78</v>
      </c>
      <c r="F73" s="517">
        <v>962.66</v>
      </c>
      <c r="G73" s="518">
        <v>1085.3499999999999</v>
      </c>
      <c r="H73" s="518">
        <v>1302.4100000000001</v>
      </c>
      <c r="I73" s="519">
        <v>1354.61</v>
      </c>
      <c r="J73" s="520">
        <v>1953.61</v>
      </c>
      <c r="K73" s="521">
        <v>2442.02</v>
      </c>
      <c r="L73" s="522">
        <v>3174.62</v>
      </c>
      <c r="M73" s="523">
        <v>3251.05</v>
      </c>
      <c r="N73" s="522">
        <v>4920.67</v>
      </c>
      <c r="O73" s="524">
        <v>4920.67</v>
      </c>
      <c r="P73" s="525">
        <v>7922.28</v>
      </c>
      <c r="Q73" s="525">
        <v>7922.28</v>
      </c>
      <c r="R73" s="525">
        <v>2</v>
      </c>
      <c r="S73" s="525">
        <v>3</v>
      </c>
      <c r="T73" s="525">
        <v>4</v>
      </c>
      <c r="U73" s="525">
        <v>5</v>
      </c>
      <c r="V73" s="525">
        <v>6</v>
      </c>
      <c r="W73" s="525">
        <v>7</v>
      </c>
      <c r="X73" s="525">
        <v>8</v>
      </c>
      <c r="Y73" s="525">
        <v>9</v>
      </c>
      <c r="Z73" s="525">
        <v>10</v>
      </c>
      <c r="AA73" s="525">
        <v>11</v>
      </c>
      <c r="AB73" s="526">
        <f t="shared" si="4"/>
        <v>0</v>
      </c>
      <c r="AC73" s="527">
        <f t="shared" si="5"/>
        <v>0</v>
      </c>
      <c r="AD73" s="527">
        <f t="shared" si="6"/>
        <v>0</v>
      </c>
      <c r="AE73" s="528">
        <f t="shared" ref="AE73:AE104" si="29">(G73*$AE$5)</f>
        <v>0</v>
      </c>
      <c r="AF73" s="528">
        <f t="shared" si="7"/>
        <v>0</v>
      </c>
      <c r="AG73" s="528">
        <f t="shared" si="8"/>
        <v>0</v>
      </c>
      <c r="AH73" s="529">
        <f t="shared" si="9"/>
        <v>0</v>
      </c>
      <c r="AI73" s="530">
        <f t="shared" si="10"/>
        <v>0</v>
      </c>
      <c r="AJ73" s="530">
        <f t="shared" si="11"/>
        <v>0</v>
      </c>
      <c r="AK73" s="530">
        <f t="shared" si="12"/>
        <v>0</v>
      </c>
      <c r="AL73" s="530">
        <f t="shared" si="13"/>
        <v>0</v>
      </c>
      <c r="AM73" s="530">
        <f t="shared" si="14"/>
        <v>0</v>
      </c>
      <c r="AN73" s="531">
        <f t="shared" si="15"/>
        <v>0</v>
      </c>
      <c r="AO73" s="531">
        <f t="shared" si="16"/>
        <v>7922.28</v>
      </c>
      <c r="AP73" s="531">
        <f t="shared" si="17"/>
        <v>0</v>
      </c>
      <c r="AQ73" s="531">
        <f t="shared" si="18"/>
        <v>0</v>
      </c>
      <c r="AR73" s="531">
        <f t="shared" si="19"/>
        <v>0</v>
      </c>
      <c r="AS73" s="531">
        <f t="shared" si="20"/>
        <v>0</v>
      </c>
      <c r="AT73" s="531">
        <f t="shared" si="21"/>
        <v>0</v>
      </c>
      <c r="AU73" s="531">
        <f t="shared" si="22"/>
        <v>0</v>
      </c>
      <c r="AV73" s="531">
        <f t="shared" si="23"/>
        <v>0</v>
      </c>
      <c r="AW73" s="531">
        <f t="shared" si="24"/>
        <v>0</v>
      </c>
      <c r="AX73" s="531">
        <f t="shared" si="25"/>
        <v>0</v>
      </c>
      <c r="AY73" s="531">
        <f t="shared" si="26"/>
        <v>0</v>
      </c>
      <c r="AZ73" s="510">
        <f t="shared" si="27"/>
        <v>7922.28</v>
      </c>
      <c r="BA73" s="643"/>
    </row>
    <row r="74" spans="1:53" x14ac:dyDescent="0.2">
      <c r="A74" s="480">
        <v>74</v>
      </c>
      <c r="B74" s="637">
        <f t="shared" ref="B74:B110" si="30">B73+1</f>
        <v>67</v>
      </c>
      <c r="C74" s="673" t="s">
        <v>335</v>
      </c>
      <c r="D74" s="516">
        <v>562.34</v>
      </c>
      <c r="E74" s="517">
        <v>702.93</v>
      </c>
      <c r="F74" s="517">
        <v>752.56</v>
      </c>
      <c r="G74" s="518">
        <v>808.37</v>
      </c>
      <c r="H74" s="518">
        <v>970.04</v>
      </c>
      <c r="I74" s="519">
        <v>1354.61</v>
      </c>
      <c r="J74" s="520">
        <v>1455.05</v>
      </c>
      <c r="K74" s="521">
        <v>2167.37</v>
      </c>
      <c r="L74" s="522">
        <v>2364.46</v>
      </c>
      <c r="M74" s="523">
        <v>3251.05</v>
      </c>
      <c r="N74" s="522">
        <v>3664.92</v>
      </c>
      <c r="O74" s="524">
        <v>4551.47</v>
      </c>
      <c r="P74" s="525">
        <v>5900.54</v>
      </c>
      <c r="Q74" s="525">
        <v>5916.92</v>
      </c>
      <c r="R74" s="525">
        <v>2</v>
      </c>
      <c r="S74" s="525">
        <v>3</v>
      </c>
      <c r="T74" s="525">
        <v>4</v>
      </c>
      <c r="U74" s="525">
        <v>5</v>
      </c>
      <c r="V74" s="525">
        <v>6</v>
      </c>
      <c r="W74" s="525">
        <v>7</v>
      </c>
      <c r="X74" s="525">
        <v>8</v>
      </c>
      <c r="Y74" s="525">
        <v>9</v>
      </c>
      <c r="Z74" s="525">
        <v>10</v>
      </c>
      <c r="AA74" s="525">
        <v>11</v>
      </c>
      <c r="AB74" s="526">
        <f t="shared" ref="AB74:AB110" si="31">(D74*$AB$5)</f>
        <v>0</v>
      </c>
      <c r="AC74" s="527">
        <f t="shared" ref="AC74:AC110" si="32">(E74*$AC$5)</f>
        <v>0</v>
      </c>
      <c r="AD74" s="527">
        <f t="shared" ref="AD74:AD110" si="33">(F74*$AD$5)</f>
        <v>0</v>
      </c>
      <c r="AE74" s="528">
        <f t="shared" si="29"/>
        <v>0</v>
      </c>
      <c r="AF74" s="528">
        <f t="shared" ref="AF74:AF110" si="34">(H74*$AF$5)</f>
        <v>0</v>
      </c>
      <c r="AG74" s="528">
        <f t="shared" ref="AG74:AG110" si="35">(I74*$AG$5)</f>
        <v>0</v>
      </c>
      <c r="AH74" s="529">
        <f t="shared" ref="AH74:AH110" si="36">(J74*$AH$5)</f>
        <v>0</v>
      </c>
      <c r="AI74" s="530">
        <f t="shared" ref="AI74:AI110" si="37">(K74*$AI$5)</f>
        <v>0</v>
      </c>
      <c r="AJ74" s="530">
        <f t="shared" ref="AJ74:AJ110" si="38">(L74*$AJ$5)</f>
        <v>0</v>
      </c>
      <c r="AK74" s="530">
        <f t="shared" ref="AK74:AK110" si="39">(M74*$AK$5)</f>
        <v>0</v>
      </c>
      <c r="AL74" s="530">
        <f t="shared" ref="AL74:AL110" si="40">(N74*$AL$5)</f>
        <v>0</v>
      </c>
      <c r="AM74" s="530">
        <f t="shared" ref="AM74:AM110" si="41">(O74*$AM$5)</f>
        <v>0</v>
      </c>
      <c r="AN74" s="531">
        <f t="shared" ref="AN74:AN110" si="42">(P74*$AN$5)</f>
        <v>0</v>
      </c>
      <c r="AO74" s="531">
        <f t="shared" ref="AO74:AO110" si="43">(Q74*$AO$5)</f>
        <v>5916.92</v>
      </c>
      <c r="AP74" s="531">
        <f t="shared" ref="AP74:AP110" si="44">(R74*$AP$5)</f>
        <v>0</v>
      </c>
      <c r="AQ74" s="531">
        <f t="shared" ref="AQ74:AQ110" si="45">(S74*$AQ$5)</f>
        <v>0</v>
      </c>
      <c r="AR74" s="531">
        <f t="shared" ref="AR74:AR110" si="46">(T74*$AR$5)</f>
        <v>0</v>
      </c>
      <c r="AS74" s="531">
        <f t="shared" ref="AS74:AS110" si="47">(U74*$AS$5)</f>
        <v>0</v>
      </c>
      <c r="AT74" s="531">
        <f t="shared" ref="AT74:AT110" si="48">(V74*$AT$5)</f>
        <v>0</v>
      </c>
      <c r="AU74" s="531">
        <f t="shared" ref="AU74:AU110" si="49">(W74*$AU$5)</f>
        <v>0</v>
      </c>
      <c r="AV74" s="531">
        <f t="shared" ref="AV74:AV110" si="50">(X74*$AV$5)</f>
        <v>0</v>
      </c>
      <c r="AW74" s="531">
        <f t="shared" ref="AW74:AW110" si="51">(Y74*$AW$5)</f>
        <v>0</v>
      </c>
      <c r="AX74" s="531">
        <f t="shared" ref="AX74:AX110" si="52">(Z74*$AX$5)</f>
        <v>0</v>
      </c>
      <c r="AY74" s="531">
        <f t="shared" ref="AY74:AY110" si="53">(AA74*$AY$5)</f>
        <v>0</v>
      </c>
      <c r="AZ74" s="510">
        <f t="shared" ref="AZ74:AZ110" si="54">ROUND((SUM(AB74:AY74)/$AZ$5),2)</f>
        <v>5916.92</v>
      </c>
      <c r="BA74" s="643"/>
    </row>
    <row r="75" spans="1:53" x14ac:dyDescent="0.2">
      <c r="A75" s="480">
        <v>75</v>
      </c>
      <c r="B75" s="637">
        <f t="shared" si="30"/>
        <v>68</v>
      </c>
      <c r="C75" s="674" t="s">
        <v>336</v>
      </c>
      <c r="D75" s="516">
        <v>963.14</v>
      </c>
      <c r="E75" s="517">
        <v>1203.93</v>
      </c>
      <c r="F75" s="517">
        <v>1228.01</v>
      </c>
      <c r="G75" s="518">
        <v>1384.52</v>
      </c>
      <c r="H75" s="518">
        <v>1661.42</v>
      </c>
      <c r="I75" s="532">
        <v>1661.42</v>
      </c>
      <c r="J75" s="520">
        <v>2492.12</v>
      </c>
      <c r="K75" s="521">
        <v>3115.16</v>
      </c>
      <c r="L75" s="522">
        <v>4049.7</v>
      </c>
      <c r="M75" s="523">
        <v>4049.7</v>
      </c>
      <c r="N75" s="522">
        <v>6277.04</v>
      </c>
      <c r="O75" s="524">
        <v>6277.04</v>
      </c>
      <c r="P75" s="525">
        <v>10106.049999999999</v>
      </c>
      <c r="Q75" s="525">
        <v>10106.049999999999</v>
      </c>
      <c r="R75" s="525">
        <v>2</v>
      </c>
      <c r="S75" s="525">
        <v>3</v>
      </c>
      <c r="T75" s="525">
        <v>4</v>
      </c>
      <c r="U75" s="525">
        <v>5</v>
      </c>
      <c r="V75" s="525">
        <v>6</v>
      </c>
      <c r="W75" s="525">
        <v>7</v>
      </c>
      <c r="X75" s="525">
        <v>8</v>
      </c>
      <c r="Y75" s="525">
        <v>9</v>
      </c>
      <c r="Z75" s="525">
        <v>10</v>
      </c>
      <c r="AA75" s="525">
        <v>11</v>
      </c>
      <c r="AB75" s="526">
        <f t="shared" si="31"/>
        <v>0</v>
      </c>
      <c r="AC75" s="527">
        <f t="shared" si="32"/>
        <v>0</v>
      </c>
      <c r="AD75" s="527">
        <f t="shared" si="33"/>
        <v>0</v>
      </c>
      <c r="AE75" s="528">
        <f t="shared" si="29"/>
        <v>0</v>
      </c>
      <c r="AF75" s="528">
        <f t="shared" si="34"/>
        <v>0</v>
      </c>
      <c r="AG75" s="528">
        <f t="shared" si="35"/>
        <v>0</v>
      </c>
      <c r="AH75" s="529">
        <f t="shared" si="36"/>
        <v>0</v>
      </c>
      <c r="AI75" s="530">
        <f t="shared" si="37"/>
        <v>0</v>
      </c>
      <c r="AJ75" s="530">
        <f t="shared" si="38"/>
        <v>0</v>
      </c>
      <c r="AK75" s="530">
        <f t="shared" si="39"/>
        <v>0</v>
      </c>
      <c r="AL75" s="530">
        <f t="shared" si="40"/>
        <v>0</v>
      </c>
      <c r="AM75" s="530">
        <f t="shared" si="41"/>
        <v>0</v>
      </c>
      <c r="AN75" s="531">
        <f t="shared" si="42"/>
        <v>0</v>
      </c>
      <c r="AO75" s="531">
        <f t="shared" si="43"/>
        <v>10106.049999999999</v>
      </c>
      <c r="AP75" s="531">
        <f t="shared" si="44"/>
        <v>0</v>
      </c>
      <c r="AQ75" s="531">
        <f t="shared" si="45"/>
        <v>0</v>
      </c>
      <c r="AR75" s="531">
        <f t="shared" si="46"/>
        <v>0</v>
      </c>
      <c r="AS75" s="531">
        <f t="shared" si="47"/>
        <v>0</v>
      </c>
      <c r="AT75" s="531">
        <f t="shared" si="48"/>
        <v>0</v>
      </c>
      <c r="AU75" s="531">
        <f t="shared" si="49"/>
        <v>0</v>
      </c>
      <c r="AV75" s="531">
        <f t="shared" si="50"/>
        <v>0</v>
      </c>
      <c r="AW75" s="531">
        <f t="shared" si="51"/>
        <v>0</v>
      </c>
      <c r="AX75" s="531">
        <f t="shared" si="52"/>
        <v>0</v>
      </c>
      <c r="AY75" s="531">
        <f t="shared" si="53"/>
        <v>0</v>
      </c>
      <c r="AZ75" s="510">
        <f t="shared" si="54"/>
        <v>10106.049999999999</v>
      </c>
      <c r="BA75" s="643">
        <v>1</v>
      </c>
    </row>
    <row r="76" spans="1:53" x14ac:dyDescent="0.2">
      <c r="A76" s="480">
        <v>76</v>
      </c>
      <c r="B76" s="637">
        <f t="shared" si="30"/>
        <v>69</v>
      </c>
      <c r="C76" s="672" t="s">
        <v>337</v>
      </c>
      <c r="D76" s="516">
        <v>675.06</v>
      </c>
      <c r="E76" s="517">
        <v>843.83</v>
      </c>
      <c r="F76" s="517">
        <v>860.71</v>
      </c>
      <c r="G76" s="518">
        <v>970.4</v>
      </c>
      <c r="H76" s="518">
        <v>1164.48</v>
      </c>
      <c r="I76" s="519">
        <v>1354.61</v>
      </c>
      <c r="J76" s="520">
        <v>1746.72</v>
      </c>
      <c r="K76" s="521">
        <v>2183.4</v>
      </c>
      <c r="L76" s="522">
        <v>2838.42</v>
      </c>
      <c r="M76" s="523">
        <v>3251.05</v>
      </c>
      <c r="N76" s="522">
        <v>4399.55</v>
      </c>
      <c r="O76" s="524">
        <v>4551.47</v>
      </c>
      <c r="P76" s="525">
        <v>7083.28</v>
      </c>
      <c r="Q76" s="525">
        <v>7083.28</v>
      </c>
      <c r="R76" s="525">
        <v>2</v>
      </c>
      <c r="S76" s="525">
        <v>3</v>
      </c>
      <c r="T76" s="525">
        <v>4</v>
      </c>
      <c r="U76" s="525">
        <v>5</v>
      </c>
      <c r="V76" s="525">
        <v>6</v>
      </c>
      <c r="W76" s="525">
        <v>7</v>
      </c>
      <c r="X76" s="525">
        <v>8</v>
      </c>
      <c r="Y76" s="525">
        <v>9</v>
      </c>
      <c r="Z76" s="525">
        <v>10</v>
      </c>
      <c r="AA76" s="525">
        <v>11</v>
      </c>
      <c r="AB76" s="526">
        <f t="shared" si="31"/>
        <v>0</v>
      </c>
      <c r="AC76" s="527">
        <f t="shared" si="32"/>
        <v>0</v>
      </c>
      <c r="AD76" s="527">
        <f t="shared" si="33"/>
        <v>0</v>
      </c>
      <c r="AE76" s="528">
        <f t="shared" si="29"/>
        <v>0</v>
      </c>
      <c r="AF76" s="528">
        <f t="shared" si="34"/>
        <v>0</v>
      </c>
      <c r="AG76" s="528">
        <f t="shared" si="35"/>
        <v>0</v>
      </c>
      <c r="AH76" s="529">
        <f t="shared" si="36"/>
        <v>0</v>
      </c>
      <c r="AI76" s="530">
        <f t="shared" si="37"/>
        <v>0</v>
      </c>
      <c r="AJ76" s="530">
        <f t="shared" si="38"/>
        <v>0</v>
      </c>
      <c r="AK76" s="530">
        <f t="shared" si="39"/>
        <v>0</v>
      </c>
      <c r="AL76" s="530">
        <f t="shared" si="40"/>
        <v>0</v>
      </c>
      <c r="AM76" s="530">
        <f t="shared" si="41"/>
        <v>0</v>
      </c>
      <c r="AN76" s="531">
        <f t="shared" si="42"/>
        <v>0</v>
      </c>
      <c r="AO76" s="531">
        <f t="shared" si="43"/>
        <v>7083.28</v>
      </c>
      <c r="AP76" s="531">
        <f t="shared" si="44"/>
        <v>0</v>
      </c>
      <c r="AQ76" s="531">
        <f t="shared" si="45"/>
        <v>0</v>
      </c>
      <c r="AR76" s="531">
        <f t="shared" si="46"/>
        <v>0</v>
      </c>
      <c r="AS76" s="531">
        <f t="shared" si="47"/>
        <v>0</v>
      </c>
      <c r="AT76" s="531">
        <f t="shared" si="48"/>
        <v>0</v>
      </c>
      <c r="AU76" s="531">
        <f t="shared" si="49"/>
        <v>0</v>
      </c>
      <c r="AV76" s="531">
        <f t="shared" si="50"/>
        <v>0</v>
      </c>
      <c r="AW76" s="531">
        <f t="shared" si="51"/>
        <v>0</v>
      </c>
      <c r="AX76" s="531">
        <f t="shared" si="52"/>
        <v>0</v>
      </c>
      <c r="AY76" s="531">
        <f t="shared" si="53"/>
        <v>0</v>
      </c>
      <c r="AZ76" s="510">
        <f t="shared" si="54"/>
        <v>7083.28</v>
      </c>
      <c r="BA76" s="643"/>
    </row>
    <row r="77" spans="1:53" x14ac:dyDescent="0.2">
      <c r="A77" s="480">
        <v>77</v>
      </c>
      <c r="B77" s="637">
        <f t="shared" si="30"/>
        <v>70</v>
      </c>
      <c r="C77" s="675" t="s">
        <v>338</v>
      </c>
      <c r="D77" s="533">
        <v>658.52</v>
      </c>
      <c r="E77" s="517">
        <v>823.15</v>
      </c>
      <c r="F77" s="517">
        <v>839.61</v>
      </c>
      <c r="G77" s="518">
        <v>946.62</v>
      </c>
      <c r="H77" s="518">
        <v>1135.95</v>
      </c>
      <c r="I77" s="519">
        <v>1354.61</v>
      </c>
      <c r="J77" s="520">
        <v>1703.92</v>
      </c>
      <c r="K77" s="521">
        <v>2167.37</v>
      </c>
      <c r="L77" s="522">
        <v>2768.87</v>
      </c>
      <c r="M77" s="523">
        <v>3251.05</v>
      </c>
      <c r="N77" s="522">
        <v>4291.75</v>
      </c>
      <c r="O77" s="524">
        <v>4551.47</v>
      </c>
      <c r="P77" s="525">
        <v>6909.74</v>
      </c>
      <c r="Q77" s="525">
        <v>6909.74</v>
      </c>
      <c r="R77" s="525">
        <v>2</v>
      </c>
      <c r="S77" s="525">
        <v>3</v>
      </c>
      <c r="T77" s="525">
        <v>4</v>
      </c>
      <c r="U77" s="525">
        <v>5</v>
      </c>
      <c r="V77" s="525">
        <v>6</v>
      </c>
      <c r="W77" s="525">
        <v>7</v>
      </c>
      <c r="X77" s="525">
        <v>8</v>
      </c>
      <c r="Y77" s="525">
        <v>9</v>
      </c>
      <c r="Z77" s="525">
        <v>10</v>
      </c>
      <c r="AA77" s="525">
        <v>11</v>
      </c>
      <c r="AB77" s="526">
        <f t="shared" si="31"/>
        <v>0</v>
      </c>
      <c r="AC77" s="527">
        <f t="shared" si="32"/>
        <v>0</v>
      </c>
      <c r="AD77" s="527">
        <f t="shared" si="33"/>
        <v>0</v>
      </c>
      <c r="AE77" s="528">
        <f t="shared" si="29"/>
        <v>0</v>
      </c>
      <c r="AF77" s="528">
        <f t="shared" si="34"/>
        <v>0</v>
      </c>
      <c r="AG77" s="528">
        <f t="shared" si="35"/>
        <v>0</v>
      </c>
      <c r="AH77" s="529">
        <f t="shared" si="36"/>
        <v>0</v>
      </c>
      <c r="AI77" s="530">
        <f t="shared" si="37"/>
        <v>0</v>
      </c>
      <c r="AJ77" s="530">
        <f t="shared" si="38"/>
        <v>0</v>
      </c>
      <c r="AK77" s="530">
        <f t="shared" si="39"/>
        <v>0</v>
      </c>
      <c r="AL77" s="530">
        <f t="shared" si="40"/>
        <v>0</v>
      </c>
      <c r="AM77" s="530">
        <f t="shared" si="41"/>
        <v>0</v>
      </c>
      <c r="AN77" s="531">
        <f t="shared" si="42"/>
        <v>0</v>
      </c>
      <c r="AO77" s="531">
        <f t="shared" si="43"/>
        <v>6909.74</v>
      </c>
      <c r="AP77" s="531">
        <f t="shared" si="44"/>
        <v>0</v>
      </c>
      <c r="AQ77" s="531">
        <f t="shared" si="45"/>
        <v>0</v>
      </c>
      <c r="AR77" s="531">
        <f t="shared" si="46"/>
        <v>0</v>
      </c>
      <c r="AS77" s="531">
        <f t="shared" si="47"/>
        <v>0</v>
      </c>
      <c r="AT77" s="531">
        <f t="shared" si="48"/>
        <v>0</v>
      </c>
      <c r="AU77" s="531">
        <f t="shared" si="49"/>
        <v>0</v>
      </c>
      <c r="AV77" s="531">
        <f t="shared" si="50"/>
        <v>0</v>
      </c>
      <c r="AW77" s="531">
        <f t="shared" si="51"/>
        <v>0</v>
      </c>
      <c r="AX77" s="531">
        <f t="shared" si="52"/>
        <v>0</v>
      </c>
      <c r="AY77" s="531">
        <f t="shared" si="53"/>
        <v>0</v>
      </c>
      <c r="AZ77" s="510">
        <f t="shared" si="54"/>
        <v>6909.74</v>
      </c>
      <c r="BA77" s="643">
        <v>1</v>
      </c>
    </row>
    <row r="78" spans="1:53" x14ac:dyDescent="0.2">
      <c r="A78" s="480">
        <v>78</v>
      </c>
      <c r="B78" s="637">
        <f t="shared" si="30"/>
        <v>71</v>
      </c>
      <c r="C78" s="675" t="s">
        <v>339</v>
      </c>
      <c r="D78" s="533">
        <v>963.14</v>
      </c>
      <c r="E78" s="517">
        <v>1203.93</v>
      </c>
      <c r="F78" s="517">
        <v>1228.01</v>
      </c>
      <c r="G78" s="518">
        <v>1384.52</v>
      </c>
      <c r="H78" s="518">
        <v>1661.42</v>
      </c>
      <c r="I78" s="532">
        <v>1661.42</v>
      </c>
      <c r="J78" s="520">
        <v>2492.12</v>
      </c>
      <c r="K78" s="521">
        <v>3115.16</v>
      </c>
      <c r="L78" s="522">
        <v>4049.7</v>
      </c>
      <c r="M78" s="523">
        <v>4049.7</v>
      </c>
      <c r="N78" s="522">
        <v>6277.04</v>
      </c>
      <c r="O78" s="524">
        <v>6277.04</v>
      </c>
      <c r="P78" s="525">
        <v>10106.049999999999</v>
      </c>
      <c r="Q78" s="525">
        <v>10106.049999999999</v>
      </c>
      <c r="R78" s="525">
        <v>2</v>
      </c>
      <c r="S78" s="525">
        <v>3</v>
      </c>
      <c r="T78" s="525">
        <v>4</v>
      </c>
      <c r="U78" s="525">
        <v>5</v>
      </c>
      <c r="V78" s="525">
        <v>6</v>
      </c>
      <c r="W78" s="525">
        <v>7</v>
      </c>
      <c r="X78" s="525">
        <v>8</v>
      </c>
      <c r="Y78" s="525">
        <v>9</v>
      </c>
      <c r="Z78" s="525">
        <v>10</v>
      </c>
      <c r="AA78" s="525">
        <v>11</v>
      </c>
      <c r="AB78" s="526">
        <f t="shared" si="31"/>
        <v>0</v>
      </c>
      <c r="AC78" s="527">
        <f t="shared" si="32"/>
        <v>0</v>
      </c>
      <c r="AD78" s="527">
        <f t="shared" si="33"/>
        <v>0</v>
      </c>
      <c r="AE78" s="528">
        <f t="shared" si="29"/>
        <v>0</v>
      </c>
      <c r="AF78" s="528">
        <f t="shared" si="34"/>
        <v>0</v>
      </c>
      <c r="AG78" s="528">
        <f t="shared" si="35"/>
        <v>0</v>
      </c>
      <c r="AH78" s="529">
        <f t="shared" si="36"/>
        <v>0</v>
      </c>
      <c r="AI78" s="530">
        <f t="shared" si="37"/>
        <v>0</v>
      </c>
      <c r="AJ78" s="530">
        <f t="shared" si="38"/>
        <v>0</v>
      </c>
      <c r="AK78" s="530">
        <f t="shared" si="39"/>
        <v>0</v>
      </c>
      <c r="AL78" s="530">
        <f t="shared" si="40"/>
        <v>0</v>
      </c>
      <c r="AM78" s="530">
        <f t="shared" si="41"/>
        <v>0</v>
      </c>
      <c r="AN78" s="531">
        <f t="shared" si="42"/>
        <v>0</v>
      </c>
      <c r="AO78" s="531">
        <f t="shared" si="43"/>
        <v>10106.049999999999</v>
      </c>
      <c r="AP78" s="531">
        <f t="shared" si="44"/>
        <v>0</v>
      </c>
      <c r="AQ78" s="531">
        <f t="shared" si="45"/>
        <v>0</v>
      </c>
      <c r="AR78" s="531">
        <f t="shared" si="46"/>
        <v>0</v>
      </c>
      <c r="AS78" s="531">
        <f t="shared" si="47"/>
        <v>0</v>
      </c>
      <c r="AT78" s="531">
        <f t="shared" si="48"/>
        <v>0</v>
      </c>
      <c r="AU78" s="531">
        <f t="shared" si="49"/>
        <v>0</v>
      </c>
      <c r="AV78" s="531">
        <f t="shared" si="50"/>
        <v>0</v>
      </c>
      <c r="AW78" s="531">
        <f t="shared" si="51"/>
        <v>0</v>
      </c>
      <c r="AX78" s="531">
        <f t="shared" si="52"/>
        <v>0</v>
      </c>
      <c r="AY78" s="531">
        <f t="shared" si="53"/>
        <v>0</v>
      </c>
      <c r="AZ78" s="510">
        <f t="shared" si="54"/>
        <v>10106.049999999999</v>
      </c>
      <c r="BA78" s="643">
        <v>1</v>
      </c>
    </row>
    <row r="79" spans="1:53" x14ac:dyDescent="0.2">
      <c r="A79" s="480">
        <v>79</v>
      </c>
      <c r="B79" s="637">
        <f t="shared" si="30"/>
        <v>72</v>
      </c>
      <c r="C79" s="675" t="s">
        <v>340</v>
      </c>
      <c r="D79" s="533">
        <v>755.02</v>
      </c>
      <c r="E79" s="517">
        <v>943.78</v>
      </c>
      <c r="F79" s="517">
        <v>962.66</v>
      </c>
      <c r="G79" s="518">
        <v>1085.3499999999999</v>
      </c>
      <c r="H79" s="518">
        <v>1302.4100000000001</v>
      </c>
      <c r="I79" s="519">
        <v>1354.61</v>
      </c>
      <c r="J79" s="520">
        <v>1953.61</v>
      </c>
      <c r="K79" s="521">
        <v>2442.02</v>
      </c>
      <c r="L79" s="522">
        <v>3174.62</v>
      </c>
      <c r="M79" s="523">
        <v>3251.05</v>
      </c>
      <c r="N79" s="522">
        <v>4920.67</v>
      </c>
      <c r="O79" s="524">
        <v>4920.67</v>
      </c>
      <c r="P79" s="525">
        <v>7922.28</v>
      </c>
      <c r="Q79" s="525">
        <v>7922.28</v>
      </c>
      <c r="R79" s="525">
        <v>2</v>
      </c>
      <c r="S79" s="525">
        <v>3</v>
      </c>
      <c r="T79" s="525">
        <v>4</v>
      </c>
      <c r="U79" s="525">
        <v>5</v>
      </c>
      <c r="V79" s="525">
        <v>6</v>
      </c>
      <c r="W79" s="525">
        <v>7</v>
      </c>
      <c r="X79" s="525">
        <v>8</v>
      </c>
      <c r="Y79" s="525">
        <v>9</v>
      </c>
      <c r="Z79" s="525">
        <v>10</v>
      </c>
      <c r="AA79" s="525">
        <v>11</v>
      </c>
      <c r="AB79" s="526">
        <f t="shared" si="31"/>
        <v>0</v>
      </c>
      <c r="AC79" s="527">
        <f t="shared" si="32"/>
        <v>0</v>
      </c>
      <c r="AD79" s="527">
        <f t="shared" si="33"/>
        <v>0</v>
      </c>
      <c r="AE79" s="528">
        <f t="shared" si="29"/>
        <v>0</v>
      </c>
      <c r="AF79" s="528">
        <f t="shared" si="34"/>
        <v>0</v>
      </c>
      <c r="AG79" s="528">
        <f t="shared" si="35"/>
        <v>0</v>
      </c>
      <c r="AH79" s="529">
        <f t="shared" si="36"/>
        <v>0</v>
      </c>
      <c r="AI79" s="530">
        <f t="shared" si="37"/>
        <v>0</v>
      </c>
      <c r="AJ79" s="530">
        <f t="shared" si="38"/>
        <v>0</v>
      </c>
      <c r="AK79" s="530">
        <f t="shared" si="39"/>
        <v>0</v>
      </c>
      <c r="AL79" s="530">
        <f t="shared" si="40"/>
        <v>0</v>
      </c>
      <c r="AM79" s="530">
        <f t="shared" si="41"/>
        <v>0</v>
      </c>
      <c r="AN79" s="531">
        <f t="shared" si="42"/>
        <v>0</v>
      </c>
      <c r="AO79" s="531">
        <f t="shared" si="43"/>
        <v>7922.28</v>
      </c>
      <c r="AP79" s="531">
        <f t="shared" si="44"/>
        <v>0</v>
      </c>
      <c r="AQ79" s="531">
        <f t="shared" si="45"/>
        <v>0</v>
      </c>
      <c r="AR79" s="531">
        <f t="shared" si="46"/>
        <v>0</v>
      </c>
      <c r="AS79" s="531">
        <f t="shared" si="47"/>
        <v>0</v>
      </c>
      <c r="AT79" s="531">
        <f t="shared" si="48"/>
        <v>0</v>
      </c>
      <c r="AU79" s="531">
        <f t="shared" si="49"/>
        <v>0</v>
      </c>
      <c r="AV79" s="531">
        <f t="shared" si="50"/>
        <v>0</v>
      </c>
      <c r="AW79" s="531">
        <f t="shared" si="51"/>
        <v>0</v>
      </c>
      <c r="AX79" s="531">
        <f t="shared" si="52"/>
        <v>0</v>
      </c>
      <c r="AY79" s="531">
        <f t="shared" si="53"/>
        <v>0</v>
      </c>
      <c r="AZ79" s="510">
        <f t="shared" si="54"/>
        <v>7922.28</v>
      </c>
      <c r="BA79" s="643">
        <v>1</v>
      </c>
    </row>
    <row r="80" spans="1:53" x14ac:dyDescent="0.2">
      <c r="A80" s="480">
        <v>80</v>
      </c>
      <c r="B80" s="637">
        <f t="shared" si="30"/>
        <v>73</v>
      </c>
      <c r="C80" s="675" t="s">
        <v>341</v>
      </c>
      <c r="D80" s="533">
        <v>787.32</v>
      </c>
      <c r="E80" s="517">
        <v>984.15</v>
      </c>
      <c r="F80" s="517">
        <v>1003.83</v>
      </c>
      <c r="G80" s="518">
        <v>1131.77</v>
      </c>
      <c r="H80" s="518">
        <v>1358.13</v>
      </c>
      <c r="I80" s="532">
        <v>1358.13</v>
      </c>
      <c r="J80" s="520">
        <v>2037.19</v>
      </c>
      <c r="K80" s="521">
        <v>2546.4899999999998</v>
      </c>
      <c r="L80" s="522">
        <v>3310.43</v>
      </c>
      <c r="M80" s="523">
        <v>3310.43</v>
      </c>
      <c r="N80" s="522">
        <v>5131.17</v>
      </c>
      <c r="O80" s="524">
        <v>5131.17</v>
      </c>
      <c r="P80" s="525">
        <v>8261.2099999999991</v>
      </c>
      <c r="Q80" s="525">
        <v>8261.2099999999991</v>
      </c>
      <c r="R80" s="525">
        <v>2</v>
      </c>
      <c r="S80" s="525">
        <v>3</v>
      </c>
      <c r="T80" s="525">
        <v>4</v>
      </c>
      <c r="U80" s="525">
        <v>5</v>
      </c>
      <c r="V80" s="525">
        <v>6</v>
      </c>
      <c r="W80" s="525">
        <v>7</v>
      </c>
      <c r="X80" s="525">
        <v>8</v>
      </c>
      <c r="Y80" s="525">
        <v>9</v>
      </c>
      <c r="Z80" s="525">
        <v>10</v>
      </c>
      <c r="AA80" s="525">
        <v>11</v>
      </c>
      <c r="AB80" s="526">
        <f t="shared" si="31"/>
        <v>0</v>
      </c>
      <c r="AC80" s="527">
        <f t="shared" si="32"/>
        <v>0</v>
      </c>
      <c r="AD80" s="527">
        <f t="shared" si="33"/>
        <v>0</v>
      </c>
      <c r="AE80" s="528">
        <f t="shared" si="29"/>
        <v>0</v>
      </c>
      <c r="AF80" s="528">
        <f t="shared" si="34"/>
        <v>0</v>
      </c>
      <c r="AG80" s="528">
        <f t="shared" si="35"/>
        <v>0</v>
      </c>
      <c r="AH80" s="529">
        <f t="shared" si="36"/>
        <v>0</v>
      </c>
      <c r="AI80" s="530">
        <f t="shared" si="37"/>
        <v>0</v>
      </c>
      <c r="AJ80" s="530">
        <f t="shared" si="38"/>
        <v>0</v>
      </c>
      <c r="AK80" s="530">
        <f t="shared" si="39"/>
        <v>0</v>
      </c>
      <c r="AL80" s="530">
        <f t="shared" si="40"/>
        <v>0</v>
      </c>
      <c r="AM80" s="530">
        <f t="shared" si="41"/>
        <v>0</v>
      </c>
      <c r="AN80" s="531">
        <f t="shared" si="42"/>
        <v>0</v>
      </c>
      <c r="AO80" s="531">
        <f t="shared" si="43"/>
        <v>8261.2099999999991</v>
      </c>
      <c r="AP80" s="531">
        <f t="shared" si="44"/>
        <v>0</v>
      </c>
      <c r="AQ80" s="531">
        <f t="shared" si="45"/>
        <v>0</v>
      </c>
      <c r="AR80" s="531">
        <f t="shared" si="46"/>
        <v>0</v>
      </c>
      <c r="AS80" s="531">
        <f t="shared" si="47"/>
        <v>0</v>
      </c>
      <c r="AT80" s="531">
        <f t="shared" si="48"/>
        <v>0</v>
      </c>
      <c r="AU80" s="531">
        <f t="shared" si="49"/>
        <v>0</v>
      </c>
      <c r="AV80" s="531">
        <f t="shared" si="50"/>
        <v>0</v>
      </c>
      <c r="AW80" s="531">
        <f t="shared" si="51"/>
        <v>0</v>
      </c>
      <c r="AX80" s="531">
        <f t="shared" si="52"/>
        <v>0</v>
      </c>
      <c r="AY80" s="531">
        <f t="shared" si="53"/>
        <v>0</v>
      </c>
      <c r="AZ80" s="510">
        <f t="shared" si="54"/>
        <v>8261.2099999999991</v>
      </c>
      <c r="BA80" s="643">
        <v>1</v>
      </c>
    </row>
    <row r="81" spans="1:78" x14ac:dyDescent="0.2">
      <c r="A81" s="480">
        <v>81</v>
      </c>
      <c r="B81" s="637">
        <f t="shared" si="30"/>
        <v>74</v>
      </c>
      <c r="C81" s="675" t="s">
        <v>342</v>
      </c>
      <c r="D81" s="533">
        <v>755.02</v>
      </c>
      <c r="E81" s="517">
        <v>943.78</v>
      </c>
      <c r="F81" s="517">
        <v>962.66</v>
      </c>
      <c r="G81" s="518">
        <v>1085.3499999999999</v>
      </c>
      <c r="H81" s="518">
        <v>1302.4100000000001</v>
      </c>
      <c r="I81" s="519">
        <v>1354.61</v>
      </c>
      <c r="J81" s="520">
        <v>1953.61</v>
      </c>
      <c r="K81" s="521">
        <v>2442.02</v>
      </c>
      <c r="L81" s="522">
        <v>3174.62</v>
      </c>
      <c r="M81" s="523">
        <v>3251.05</v>
      </c>
      <c r="N81" s="522">
        <v>4920.67</v>
      </c>
      <c r="O81" s="524">
        <v>4920.67</v>
      </c>
      <c r="P81" s="525">
        <v>7922.28</v>
      </c>
      <c r="Q81" s="525">
        <v>7922.28</v>
      </c>
      <c r="R81" s="525">
        <v>2</v>
      </c>
      <c r="S81" s="525">
        <v>3</v>
      </c>
      <c r="T81" s="525">
        <v>4</v>
      </c>
      <c r="U81" s="525">
        <v>5</v>
      </c>
      <c r="V81" s="525">
        <v>6</v>
      </c>
      <c r="W81" s="525">
        <v>7</v>
      </c>
      <c r="X81" s="525">
        <v>8</v>
      </c>
      <c r="Y81" s="525">
        <v>9</v>
      </c>
      <c r="Z81" s="525">
        <v>10</v>
      </c>
      <c r="AA81" s="525">
        <v>11</v>
      </c>
      <c r="AB81" s="526">
        <f t="shared" si="31"/>
        <v>0</v>
      </c>
      <c r="AC81" s="527">
        <f t="shared" si="32"/>
        <v>0</v>
      </c>
      <c r="AD81" s="527">
        <f t="shared" si="33"/>
        <v>0</v>
      </c>
      <c r="AE81" s="528">
        <f t="shared" si="29"/>
        <v>0</v>
      </c>
      <c r="AF81" s="528">
        <f t="shared" si="34"/>
        <v>0</v>
      </c>
      <c r="AG81" s="528">
        <f t="shared" si="35"/>
        <v>0</v>
      </c>
      <c r="AH81" s="529">
        <f t="shared" si="36"/>
        <v>0</v>
      </c>
      <c r="AI81" s="530">
        <f t="shared" si="37"/>
        <v>0</v>
      </c>
      <c r="AJ81" s="530">
        <f t="shared" si="38"/>
        <v>0</v>
      </c>
      <c r="AK81" s="530">
        <f t="shared" si="39"/>
        <v>0</v>
      </c>
      <c r="AL81" s="530">
        <f t="shared" si="40"/>
        <v>0</v>
      </c>
      <c r="AM81" s="530">
        <f t="shared" si="41"/>
        <v>0</v>
      </c>
      <c r="AN81" s="531">
        <f t="shared" si="42"/>
        <v>0</v>
      </c>
      <c r="AO81" s="531">
        <f t="shared" si="43"/>
        <v>7922.28</v>
      </c>
      <c r="AP81" s="531">
        <f t="shared" si="44"/>
        <v>0</v>
      </c>
      <c r="AQ81" s="531">
        <f t="shared" si="45"/>
        <v>0</v>
      </c>
      <c r="AR81" s="531">
        <f t="shared" si="46"/>
        <v>0</v>
      </c>
      <c r="AS81" s="531">
        <f t="shared" si="47"/>
        <v>0</v>
      </c>
      <c r="AT81" s="531">
        <f t="shared" si="48"/>
        <v>0</v>
      </c>
      <c r="AU81" s="531">
        <f t="shared" si="49"/>
        <v>0</v>
      </c>
      <c r="AV81" s="531">
        <f t="shared" si="50"/>
        <v>0</v>
      </c>
      <c r="AW81" s="531">
        <f t="shared" si="51"/>
        <v>0</v>
      </c>
      <c r="AX81" s="531">
        <f t="shared" si="52"/>
        <v>0</v>
      </c>
      <c r="AY81" s="531">
        <f t="shared" si="53"/>
        <v>0</v>
      </c>
      <c r="AZ81" s="510">
        <f t="shared" si="54"/>
        <v>7922.28</v>
      </c>
      <c r="BA81" s="643">
        <v>1</v>
      </c>
    </row>
    <row r="82" spans="1:78" x14ac:dyDescent="0.2">
      <c r="A82" s="480">
        <v>82</v>
      </c>
      <c r="B82" s="637">
        <f t="shared" si="30"/>
        <v>75</v>
      </c>
      <c r="C82" s="672" t="s">
        <v>343</v>
      </c>
      <c r="D82" s="533">
        <v>610.14</v>
      </c>
      <c r="E82" s="517">
        <v>762.68</v>
      </c>
      <c r="F82" s="517">
        <v>777.93</v>
      </c>
      <c r="G82" s="518">
        <v>877.08</v>
      </c>
      <c r="H82" s="518">
        <v>1052.49</v>
      </c>
      <c r="I82" s="519">
        <v>1354.61</v>
      </c>
      <c r="J82" s="520">
        <v>1578.74</v>
      </c>
      <c r="K82" s="521">
        <v>2167.37</v>
      </c>
      <c r="L82" s="522">
        <v>2565.4499999999998</v>
      </c>
      <c r="M82" s="523">
        <v>3251.05</v>
      </c>
      <c r="N82" s="522">
        <v>3976.44</v>
      </c>
      <c r="O82" s="524">
        <v>4551.47</v>
      </c>
      <c r="P82" s="525">
        <v>6402.07</v>
      </c>
      <c r="Q82" s="525">
        <v>6402.07</v>
      </c>
      <c r="R82" s="525">
        <v>2</v>
      </c>
      <c r="S82" s="525">
        <v>3</v>
      </c>
      <c r="T82" s="525">
        <v>4</v>
      </c>
      <c r="U82" s="525">
        <v>5</v>
      </c>
      <c r="V82" s="525">
        <v>6</v>
      </c>
      <c r="W82" s="525">
        <v>7</v>
      </c>
      <c r="X82" s="525">
        <v>8</v>
      </c>
      <c r="Y82" s="525">
        <v>9</v>
      </c>
      <c r="Z82" s="525">
        <v>10</v>
      </c>
      <c r="AA82" s="525">
        <v>11</v>
      </c>
      <c r="AB82" s="526">
        <f t="shared" si="31"/>
        <v>0</v>
      </c>
      <c r="AC82" s="527">
        <f t="shared" si="32"/>
        <v>0</v>
      </c>
      <c r="AD82" s="527">
        <f t="shared" si="33"/>
        <v>0</v>
      </c>
      <c r="AE82" s="528">
        <f t="shared" si="29"/>
        <v>0</v>
      </c>
      <c r="AF82" s="528">
        <f t="shared" si="34"/>
        <v>0</v>
      </c>
      <c r="AG82" s="528">
        <f t="shared" si="35"/>
        <v>0</v>
      </c>
      <c r="AH82" s="529">
        <f t="shared" si="36"/>
        <v>0</v>
      </c>
      <c r="AI82" s="530">
        <f t="shared" si="37"/>
        <v>0</v>
      </c>
      <c r="AJ82" s="530">
        <f t="shared" si="38"/>
        <v>0</v>
      </c>
      <c r="AK82" s="530">
        <f t="shared" si="39"/>
        <v>0</v>
      </c>
      <c r="AL82" s="530">
        <f t="shared" si="40"/>
        <v>0</v>
      </c>
      <c r="AM82" s="530">
        <f t="shared" si="41"/>
        <v>0</v>
      </c>
      <c r="AN82" s="531">
        <f t="shared" si="42"/>
        <v>0</v>
      </c>
      <c r="AO82" s="531">
        <f t="shared" si="43"/>
        <v>6402.07</v>
      </c>
      <c r="AP82" s="531">
        <f t="shared" si="44"/>
        <v>0</v>
      </c>
      <c r="AQ82" s="531">
        <f t="shared" si="45"/>
        <v>0</v>
      </c>
      <c r="AR82" s="531">
        <f t="shared" si="46"/>
        <v>0</v>
      </c>
      <c r="AS82" s="531">
        <f t="shared" si="47"/>
        <v>0</v>
      </c>
      <c r="AT82" s="531">
        <f t="shared" si="48"/>
        <v>0</v>
      </c>
      <c r="AU82" s="531">
        <f t="shared" si="49"/>
        <v>0</v>
      </c>
      <c r="AV82" s="531">
        <f t="shared" si="50"/>
        <v>0</v>
      </c>
      <c r="AW82" s="531">
        <f t="shared" si="51"/>
        <v>0</v>
      </c>
      <c r="AX82" s="531">
        <f t="shared" si="52"/>
        <v>0</v>
      </c>
      <c r="AY82" s="531">
        <f t="shared" si="53"/>
        <v>0</v>
      </c>
      <c r="AZ82" s="510">
        <f t="shared" si="54"/>
        <v>6402.07</v>
      </c>
      <c r="BA82" s="643"/>
    </row>
    <row r="83" spans="1:78" x14ac:dyDescent="0.2">
      <c r="A83" s="480">
        <v>83</v>
      </c>
      <c r="B83" s="637">
        <f t="shared" si="30"/>
        <v>76</v>
      </c>
      <c r="C83" s="675" t="s">
        <v>344</v>
      </c>
      <c r="D83" s="533">
        <v>963.14</v>
      </c>
      <c r="E83" s="517">
        <v>1203.93</v>
      </c>
      <c r="F83" s="517">
        <v>1228.01</v>
      </c>
      <c r="G83" s="518">
        <v>1384.52</v>
      </c>
      <c r="H83" s="518">
        <v>1661.42</v>
      </c>
      <c r="I83" s="532">
        <v>1661.42</v>
      </c>
      <c r="J83" s="520">
        <v>2492.12</v>
      </c>
      <c r="K83" s="521">
        <v>3115.16</v>
      </c>
      <c r="L83" s="522">
        <v>4049.7</v>
      </c>
      <c r="M83" s="523">
        <v>4049.7</v>
      </c>
      <c r="N83" s="522">
        <v>6277.04</v>
      </c>
      <c r="O83" s="524">
        <v>6277.04</v>
      </c>
      <c r="P83" s="525">
        <v>10106.049999999999</v>
      </c>
      <c r="Q83" s="525">
        <v>10106.049999999999</v>
      </c>
      <c r="R83" s="525">
        <v>2</v>
      </c>
      <c r="S83" s="525">
        <v>3</v>
      </c>
      <c r="T83" s="525">
        <v>4</v>
      </c>
      <c r="U83" s="525">
        <v>5</v>
      </c>
      <c r="V83" s="525">
        <v>6</v>
      </c>
      <c r="W83" s="525">
        <v>7</v>
      </c>
      <c r="X83" s="525">
        <v>8</v>
      </c>
      <c r="Y83" s="525">
        <v>9</v>
      </c>
      <c r="Z83" s="525">
        <v>10</v>
      </c>
      <c r="AA83" s="525">
        <v>11</v>
      </c>
      <c r="AB83" s="526">
        <f t="shared" si="31"/>
        <v>0</v>
      </c>
      <c r="AC83" s="527">
        <f t="shared" si="32"/>
        <v>0</v>
      </c>
      <c r="AD83" s="527">
        <f t="shared" si="33"/>
        <v>0</v>
      </c>
      <c r="AE83" s="528">
        <f t="shared" si="29"/>
        <v>0</v>
      </c>
      <c r="AF83" s="528">
        <f t="shared" si="34"/>
        <v>0</v>
      </c>
      <c r="AG83" s="528">
        <f t="shared" si="35"/>
        <v>0</v>
      </c>
      <c r="AH83" s="529">
        <f t="shared" si="36"/>
        <v>0</v>
      </c>
      <c r="AI83" s="530">
        <f t="shared" si="37"/>
        <v>0</v>
      </c>
      <c r="AJ83" s="530">
        <f t="shared" si="38"/>
        <v>0</v>
      </c>
      <c r="AK83" s="530">
        <f t="shared" si="39"/>
        <v>0</v>
      </c>
      <c r="AL83" s="530">
        <f t="shared" si="40"/>
        <v>0</v>
      </c>
      <c r="AM83" s="530">
        <f t="shared" si="41"/>
        <v>0</v>
      </c>
      <c r="AN83" s="531">
        <f t="shared" si="42"/>
        <v>0</v>
      </c>
      <c r="AO83" s="531">
        <f t="shared" si="43"/>
        <v>10106.049999999999</v>
      </c>
      <c r="AP83" s="531">
        <f t="shared" si="44"/>
        <v>0</v>
      </c>
      <c r="AQ83" s="531">
        <f t="shared" si="45"/>
        <v>0</v>
      </c>
      <c r="AR83" s="531">
        <f t="shared" si="46"/>
        <v>0</v>
      </c>
      <c r="AS83" s="531">
        <f t="shared" si="47"/>
        <v>0</v>
      </c>
      <c r="AT83" s="531">
        <f t="shared" si="48"/>
        <v>0</v>
      </c>
      <c r="AU83" s="531">
        <f t="shared" si="49"/>
        <v>0</v>
      </c>
      <c r="AV83" s="531">
        <f t="shared" si="50"/>
        <v>0</v>
      </c>
      <c r="AW83" s="531">
        <f t="shared" si="51"/>
        <v>0</v>
      </c>
      <c r="AX83" s="531">
        <f t="shared" si="52"/>
        <v>0</v>
      </c>
      <c r="AY83" s="531">
        <f t="shared" si="53"/>
        <v>0</v>
      </c>
      <c r="AZ83" s="510">
        <f t="shared" si="54"/>
        <v>10106.049999999999</v>
      </c>
      <c r="BA83" s="643">
        <v>1</v>
      </c>
    </row>
    <row r="84" spans="1:78" x14ac:dyDescent="0.2">
      <c r="A84" s="480">
        <v>84</v>
      </c>
      <c r="B84" s="637">
        <f t="shared" si="30"/>
        <v>77</v>
      </c>
      <c r="C84" s="675" t="s">
        <v>345</v>
      </c>
      <c r="D84" s="533">
        <v>755.02</v>
      </c>
      <c r="E84" s="517">
        <v>943.78</v>
      </c>
      <c r="F84" s="517">
        <v>962.66</v>
      </c>
      <c r="G84" s="518">
        <v>1085.3499999999999</v>
      </c>
      <c r="H84" s="518">
        <v>1302.4100000000001</v>
      </c>
      <c r="I84" s="519">
        <v>1354.61</v>
      </c>
      <c r="J84" s="520">
        <v>1953.61</v>
      </c>
      <c r="K84" s="521">
        <v>2442.02</v>
      </c>
      <c r="L84" s="522">
        <v>3174.62</v>
      </c>
      <c r="M84" s="523">
        <v>3251.05</v>
      </c>
      <c r="N84" s="522">
        <v>4920.67</v>
      </c>
      <c r="O84" s="524">
        <v>4920.67</v>
      </c>
      <c r="P84" s="525">
        <v>7922.28</v>
      </c>
      <c r="Q84" s="525">
        <v>7922.28</v>
      </c>
      <c r="R84" s="525">
        <v>2</v>
      </c>
      <c r="S84" s="525">
        <v>3</v>
      </c>
      <c r="T84" s="525">
        <v>4</v>
      </c>
      <c r="U84" s="525">
        <v>5</v>
      </c>
      <c r="V84" s="525">
        <v>6</v>
      </c>
      <c r="W84" s="525">
        <v>7</v>
      </c>
      <c r="X84" s="525">
        <v>8</v>
      </c>
      <c r="Y84" s="525">
        <v>9</v>
      </c>
      <c r="Z84" s="525">
        <v>10</v>
      </c>
      <c r="AA84" s="525">
        <v>11</v>
      </c>
      <c r="AB84" s="526">
        <f t="shared" si="31"/>
        <v>0</v>
      </c>
      <c r="AC84" s="527">
        <f t="shared" si="32"/>
        <v>0</v>
      </c>
      <c r="AD84" s="527">
        <f t="shared" si="33"/>
        <v>0</v>
      </c>
      <c r="AE84" s="528">
        <f t="shared" si="29"/>
        <v>0</v>
      </c>
      <c r="AF84" s="528">
        <f t="shared" si="34"/>
        <v>0</v>
      </c>
      <c r="AG84" s="528">
        <f t="shared" si="35"/>
        <v>0</v>
      </c>
      <c r="AH84" s="529">
        <f t="shared" si="36"/>
        <v>0</v>
      </c>
      <c r="AI84" s="530">
        <f t="shared" si="37"/>
        <v>0</v>
      </c>
      <c r="AJ84" s="530">
        <f t="shared" si="38"/>
        <v>0</v>
      </c>
      <c r="AK84" s="530">
        <f t="shared" si="39"/>
        <v>0</v>
      </c>
      <c r="AL84" s="530">
        <f t="shared" si="40"/>
        <v>0</v>
      </c>
      <c r="AM84" s="530">
        <f t="shared" si="41"/>
        <v>0</v>
      </c>
      <c r="AN84" s="531">
        <f t="shared" si="42"/>
        <v>0</v>
      </c>
      <c r="AO84" s="531">
        <f t="shared" si="43"/>
        <v>7922.28</v>
      </c>
      <c r="AP84" s="531">
        <f t="shared" si="44"/>
        <v>0</v>
      </c>
      <c r="AQ84" s="531">
        <f t="shared" si="45"/>
        <v>0</v>
      </c>
      <c r="AR84" s="531">
        <f t="shared" si="46"/>
        <v>0</v>
      </c>
      <c r="AS84" s="531">
        <f t="shared" si="47"/>
        <v>0</v>
      </c>
      <c r="AT84" s="531">
        <f t="shared" si="48"/>
        <v>0</v>
      </c>
      <c r="AU84" s="531">
        <f t="shared" si="49"/>
        <v>0</v>
      </c>
      <c r="AV84" s="531">
        <f t="shared" si="50"/>
        <v>0</v>
      </c>
      <c r="AW84" s="531">
        <f t="shared" si="51"/>
        <v>0</v>
      </c>
      <c r="AX84" s="531">
        <f t="shared" si="52"/>
        <v>0</v>
      </c>
      <c r="AY84" s="531">
        <f t="shared" si="53"/>
        <v>0</v>
      </c>
      <c r="AZ84" s="510">
        <f t="shared" si="54"/>
        <v>7922.28</v>
      </c>
      <c r="BA84" s="643">
        <v>1</v>
      </c>
    </row>
    <row r="85" spans="1:78" x14ac:dyDescent="0.2">
      <c r="A85" s="480">
        <v>85</v>
      </c>
      <c r="B85" s="637">
        <f t="shared" si="30"/>
        <v>78</v>
      </c>
      <c r="C85" s="675" t="s">
        <v>346</v>
      </c>
      <c r="D85" s="533">
        <v>963.14</v>
      </c>
      <c r="E85" s="517">
        <v>1203.93</v>
      </c>
      <c r="F85" s="517">
        <v>1228.01</v>
      </c>
      <c r="G85" s="518">
        <v>1384.52</v>
      </c>
      <c r="H85" s="518">
        <v>1661.42</v>
      </c>
      <c r="I85" s="532">
        <v>1661.42</v>
      </c>
      <c r="J85" s="520">
        <v>2492.12</v>
      </c>
      <c r="K85" s="521">
        <v>3115.16</v>
      </c>
      <c r="L85" s="522">
        <v>4049.7</v>
      </c>
      <c r="M85" s="523">
        <v>4049.7</v>
      </c>
      <c r="N85" s="522">
        <v>6277.04</v>
      </c>
      <c r="O85" s="524">
        <v>6277.04</v>
      </c>
      <c r="P85" s="525">
        <v>10106.049999999999</v>
      </c>
      <c r="Q85" s="525">
        <v>10106.049999999999</v>
      </c>
      <c r="R85" s="525">
        <v>2</v>
      </c>
      <c r="S85" s="525">
        <v>3</v>
      </c>
      <c r="T85" s="525">
        <v>4</v>
      </c>
      <c r="U85" s="525">
        <v>5</v>
      </c>
      <c r="V85" s="525">
        <v>6</v>
      </c>
      <c r="W85" s="525">
        <v>7</v>
      </c>
      <c r="X85" s="525">
        <v>8</v>
      </c>
      <c r="Y85" s="525">
        <v>9</v>
      </c>
      <c r="Z85" s="525">
        <v>10</v>
      </c>
      <c r="AA85" s="525">
        <v>11</v>
      </c>
      <c r="AB85" s="526">
        <f t="shared" si="31"/>
        <v>0</v>
      </c>
      <c r="AC85" s="527">
        <f t="shared" si="32"/>
        <v>0</v>
      </c>
      <c r="AD85" s="527">
        <f t="shared" si="33"/>
        <v>0</v>
      </c>
      <c r="AE85" s="528">
        <f t="shared" si="29"/>
        <v>0</v>
      </c>
      <c r="AF85" s="528">
        <f t="shared" si="34"/>
        <v>0</v>
      </c>
      <c r="AG85" s="528">
        <f t="shared" si="35"/>
        <v>0</v>
      </c>
      <c r="AH85" s="529">
        <f t="shared" si="36"/>
        <v>0</v>
      </c>
      <c r="AI85" s="530">
        <f t="shared" si="37"/>
        <v>0</v>
      </c>
      <c r="AJ85" s="530">
        <f t="shared" si="38"/>
        <v>0</v>
      </c>
      <c r="AK85" s="530">
        <f t="shared" si="39"/>
        <v>0</v>
      </c>
      <c r="AL85" s="530">
        <f t="shared" si="40"/>
        <v>0</v>
      </c>
      <c r="AM85" s="530">
        <f t="shared" si="41"/>
        <v>0</v>
      </c>
      <c r="AN85" s="531">
        <f t="shared" si="42"/>
        <v>0</v>
      </c>
      <c r="AO85" s="531">
        <f t="shared" si="43"/>
        <v>10106.049999999999</v>
      </c>
      <c r="AP85" s="531">
        <f t="shared" si="44"/>
        <v>0</v>
      </c>
      <c r="AQ85" s="531">
        <f t="shared" si="45"/>
        <v>0</v>
      </c>
      <c r="AR85" s="531">
        <f t="shared" si="46"/>
        <v>0</v>
      </c>
      <c r="AS85" s="531">
        <f t="shared" si="47"/>
        <v>0</v>
      </c>
      <c r="AT85" s="531">
        <f t="shared" si="48"/>
        <v>0</v>
      </c>
      <c r="AU85" s="531">
        <f t="shared" si="49"/>
        <v>0</v>
      </c>
      <c r="AV85" s="531">
        <f t="shared" si="50"/>
        <v>0</v>
      </c>
      <c r="AW85" s="531">
        <f t="shared" si="51"/>
        <v>0</v>
      </c>
      <c r="AX85" s="531">
        <f t="shared" si="52"/>
        <v>0</v>
      </c>
      <c r="AY85" s="531">
        <f t="shared" si="53"/>
        <v>0</v>
      </c>
      <c r="AZ85" s="510">
        <f t="shared" si="54"/>
        <v>10106.049999999999</v>
      </c>
      <c r="BA85" s="643">
        <v>1</v>
      </c>
    </row>
    <row r="86" spans="1:78" x14ac:dyDescent="0.2">
      <c r="A86" s="480">
        <v>86</v>
      </c>
      <c r="B86" s="637">
        <f t="shared" si="30"/>
        <v>79</v>
      </c>
      <c r="C86" s="675" t="s">
        <v>347</v>
      </c>
      <c r="D86" s="533">
        <v>755.02</v>
      </c>
      <c r="E86" s="517">
        <v>943.78</v>
      </c>
      <c r="F86" s="517">
        <v>962.66</v>
      </c>
      <c r="G86" s="518">
        <v>1085.3499999999999</v>
      </c>
      <c r="H86" s="518">
        <v>1302.4100000000001</v>
      </c>
      <c r="I86" s="519">
        <v>1354.61</v>
      </c>
      <c r="J86" s="520">
        <v>1953.61</v>
      </c>
      <c r="K86" s="521">
        <v>2442.02</v>
      </c>
      <c r="L86" s="522">
        <v>3174.62</v>
      </c>
      <c r="M86" s="523">
        <v>3251.05</v>
      </c>
      <c r="N86" s="522">
        <v>4920.67</v>
      </c>
      <c r="O86" s="524">
        <v>4920.67</v>
      </c>
      <c r="P86" s="525">
        <v>7922.28</v>
      </c>
      <c r="Q86" s="525">
        <v>7922.28</v>
      </c>
      <c r="R86" s="525">
        <v>2</v>
      </c>
      <c r="S86" s="525">
        <v>3</v>
      </c>
      <c r="T86" s="525">
        <v>4</v>
      </c>
      <c r="U86" s="525">
        <v>5</v>
      </c>
      <c r="V86" s="525">
        <v>6</v>
      </c>
      <c r="W86" s="525">
        <v>7</v>
      </c>
      <c r="X86" s="525">
        <v>8</v>
      </c>
      <c r="Y86" s="525">
        <v>9</v>
      </c>
      <c r="Z86" s="525">
        <v>10</v>
      </c>
      <c r="AA86" s="525">
        <v>11</v>
      </c>
      <c r="AB86" s="526">
        <f t="shared" si="31"/>
        <v>0</v>
      </c>
      <c r="AC86" s="527">
        <f t="shared" si="32"/>
        <v>0</v>
      </c>
      <c r="AD86" s="527">
        <f t="shared" si="33"/>
        <v>0</v>
      </c>
      <c r="AE86" s="528">
        <f t="shared" si="29"/>
        <v>0</v>
      </c>
      <c r="AF86" s="528">
        <f t="shared" si="34"/>
        <v>0</v>
      </c>
      <c r="AG86" s="528">
        <f t="shared" si="35"/>
        <v>0</v>
      </c>
      <c r="AH86" s="529">
        <f t="shared" si="36"/>
        <v>0</v>
      </c>
      <c r="AI86" s="530">
        <f t="shared" si="37"/>
        <v>0</v>
      </c>
      <c r="AJ86" s="530">
        <f t="shared" si="38"/>
        <v>0</v>
      </c>
      <c r="AK86" s="530">
        <f t="shared" si="39"/>
        <v>0</v>
      </c>
      <c r="AL86" s="530">
        <f t="shared" si="40"/>
        <v>0</v>
      </c>
      <c r="AM86" s="530">
        <f t="shared" si="41"/>
        <v>0</v>
      </c>
      <c r="AN86" s="531">
        <f t="shared" si="42"/>
        <v>0</v>
      </c>
      <c r="AO86" s="531">
        <f t="shared" si="43"/>
        <v>7922.28</v>
      </c>
      <c r="AP86" s="531">
        <f t="shared" si="44"/>
        <v>0</v>
      </c>
      <c r="AQ86" s="531">
        <f t="shared" si="45"/>
        <v>0</v>
      </c>
      <c r="AR86" s="531">
        <f t="shared" si="46"/>
        <v>0</v>
      </c>
      <c r="AS86" s="531">
        <f t="shared" si="47"/>
        <v>0</v>
      </c>
      <c r="AT86" s="531">
        <f t="shared" si="48"/>
        <v>0</v>
      </c>
      <c r="AU86" s="531">
        <f t="shared" si="49"/>
        <v>0</v>
      </c>
      <c r="AV86" s="531">
        <f t="shared" si="50"/>
        <v>0</v>
      </c>
      <c r="AW86" s="531">
        <f t="shared" si="51"/>
        <v>0</v>
      </c>
      <c r="AX86" s="531">
        <f t="shared" si="52"/>
        <v>0</v>
      </c>
      <c r="AY86" s="531">
        <f t="shared" si="53"/>
        <v>0</v>
      </c>
      <c r="AZ86" s="510">
        <f t="shared" si="54"/>
        <v>7922.28</v>
      </c>
      <c r="BA86" s="643">
        <v>1</v>
      </c>
    </row>
    <row r="87" spans="1:78" x14ac:dyDescent="0.2">
      <c r="A87" s="480">
        <v>87</v>
      </c>
      <c r="B87" s="637">
        <f t="shared" si="30"/>
        <v>80</v>
      </c>
      <c r="C87" s="675" t="s">
        <v>348</v>
      </c>
      <c r="D87" s="533">
        <v>746.64</v>
      </c>
      <c r="E87" s="517">
        <v>933.3</v>
      </c>
      <c r="F87" s="517">
        <v>951.97</v>
      </c>
      <c r="G87" s="518">
        <v>1073.3</v>
      </c>
      <c r="H87" s="518">
        <v>1287.95</v>
      </c>
      <c r="I87" s="519">
        <v>1354.61</v>
      </c>
      <c r="J87" s="520">
        <v>1931.93</v>
      </c>
      <c r="K87" s="521">
        <v>2414.91</v>
      </c>
      <c r="L87" s="522">
        <v>3139.39</v>
      </c>
      <c r="M87" s="523">
        <v>3251.05</v>
      </c>
      <c r="N87" s="522">
        <v>4866.05</v>
      </c>
      <c r="O87" s="524">
        <v>4866.05</v>
      </c>
      <c r="P87" s="525">
        <v>7834.32</v>
      </c>
      <c r="Q87" s="525">
        <v>7834.32</v>
      </c>
      <c r="R87" s="525">
        <v>2</v>
      </c>
      <c r="S87" s="525">
        <v>3</v>
      </c>
      <c r="T87" s="525">
        <v>4</v>
      </c>
      <c r="U87" s="525">
        <v>5</v>
      </c>
      <c r="V87" s="525">
        <v>6</v>
      </c>
      <c r="W87" s="525">
        <v>7</v>
      </c>
      <c r="X87" s="525">
        <v>8</v>
      </c>
      <c r="Y87" s="525">
        <v>9</v>
      </c>
      <c r="Z87" s="525">
        <v>10</v>
      </c>
      <c r="AA87" s="525">
        <v>11</v>
      </c>
      <c r="AB87" s="526">
        <f t="shared" si="31"/>
        <v>0</v>
      </c>
      <c r="AC87" s="527">
        <f t="shared" si="32"/>
        <v>0</v>
      </c>
      <c r="AD87" s="527">
        <f t="shared" si="33"/>
        <v>0</v>
      </c>
      <c r="AE87" s="528">
        <f t="shared" si="29"/>
        <v>0</v>
      </c>
      <c r="AF87" s="528">
        <f t="shared" si="34"/>
        <v>0</v>
      </c>
      <c r="AG87" s="528">
        <f t="shared" si="35"/>
        <v>0</v>
      </c>
      <c r="AH87" s="529">
        <f t="shared" si="36"/>
        <v>0</v>
      </c>
      <c r="AI87" s="530">
        <f t="shared" si="37"/>
        <v>0</v>
      </c>
      <c r="AJ87" s="530">
        <f t="shared" si="38"/>
        <v>0</v>
      </c>
      <c r="AK87" s="530">
        <f t="shared" si="39"/>
        <v>0</v>
      </c>
      <c r="AL87" s="530">
        <f t="shared" si="40"/>
        <v>0</v>
      </c>
      <c r="AM87" s="530">
        <f t="shared" si="41"/>
        <v>0</v>
      </c>
      <c r="AN87" s="531">
        <f t="shared" si="42"/>
        <v>0</v>
      </c>
      <c r="AO87" s="531">
        <f t="shared" si="43"/>
        <v>7834.32</v>
      </c>
      <c r="AP87" s="531">
        <f t="shared" si="44"/>
        <v>0</v>
      </c>
      <c r="AQ87" s="531">
        <f t="shared" si="45"/>
        <v>0</v>
      </c>
      <c r="AR87" s="531">
        <f t="shared" si="46"/>
        <v>0</v>
      </c>
      <c r="AS87" s="531">
        <f t="shared" si="47"/>
        <v>0</v>
      </c>
      <c r="AT87" s="531">
        <f t="shared" si="48"/>
        <v>0</v>
      </c>
      <c r="AU87" s="531">
        <f t="shared" si="49"/>
        <v>0</v>
      </c>
      <c r="AV87" s="531">
        <f t="shared" si="50"/>
        <v>0</v>
      </c>
      <c r="AW87" s="531">
        <f t="shared" si="51"/>
        <v>0</v>
      </c>
      <c r="AX87" s="531">
        <f t="shared" si="52"/>
        <v>0</v>
      </c>
      <c r="AY87" s="531">
        <f t="shared" si="53"/>
        <v>0</v>
      </c>
      <c r="AZ87" s="510">
        <f t="shared" si="54"/>
        <v>7834.32</v>
      </c>
      <c r="BA87" s="643">
        <v>1</v>
      </c>
    </row>
    <row r="88" spans="1:78" s="555" customFormat="1" x14ac:dyDescent="0.2">
      <c r="A88" s="480">
        <v>88</v>
      </c>
      <c r="B88" s="637">
        <f t="shared" si="30"/>
        <v>81</v>
      </c>
      <c r="C88" s="674" t="s">
        <v>349</v>
      </c>
      <c r="D88" s="533">
        <v>963.14</v>
      </c>
      <c r="E88" s="534">
        <v>1203.93</v>
      </c>
      <c r="F88" s="534">
        <v>1228.01</v>
      </c>
      <c r="G88" s="535">
        <v>1384.52</v>
      </c>
      <c r="H88" s="535">
        <v>1661.42</v>
      </c>
      <c r="I88" s="536">
        <v>1661.42</v>
      </c>
      <c r="J88" s="520">
        <v>2492.12</v>
      </c>
      <c r="K88" s="537">
        <v>3115.16</v>
      </c>
      <c r="L88" s="522">
        <v>4049.7</v>
      </c>
      <c r="M88" s="523">
        <v>4049.7</v>
      </c>
      <c r="N88" s="522">
        <v>6277.04</v>
      </c>
      <c r="O88" s="524">
        <v>6277.04</v>
      </c>
      <c r="P88" s="538">
        <v>10106.049999999999</v>
      </c>
      <c r="Q88" s="538">
        <v>10106.049999999999</v>
      </c>
      <c r="R88" s="538">
        <v>2</v>
      </c>
      <c r="S88" s="538">
        <v>3</v>
      </c>
      <c r="T88" s="538">
        <v>4</v>
      </c>
      <c r="U88" s="538">
        <v>5</v>
      </c>
      <c r="V88" s="538">
        <v>6</v>
      </c>
      <c r="W88" s="538">
        <v>7</v>
      </c>
      <c r="X88" s="538">
        <v>8</v>
      </c>
      <c r="Y88" s="538">
        <v>9</v>
      </c>
      <c r="Z88" s="538">
        <v>10</v>
      </c>
      <c r="AA88" s="538">
        <v>11</v>
      </c>
      <c r="AB88" s="526">
        <f t="shared" si="31"/>
        <v>0</v>
      </c>
      <c r="AC88" s="527">
        <f t="shared" si="32"/>
        <v>0</v>
      </c>
      <c r="AD88" s="527">
        <f t="shared" si="33"/>
        <v>0</v>
      </c>
      <c r="AE88" s="528">
        <f t="shared" si="29"/>
        <v>0</v>
      </c>
      <c r="AF88" s="528">
        <f t="shared" si="34"/>
        <v>0</v>
      </c>
      <c r="AG88" s="528">
        <f t="shared" si="35"/>
        <v>0</v>
      </c>
      <c r="AH88" s="529">
        <f t="shared" si="36"/>
        <v>0</v>
      </c>
      <c r="AI88" s="530">
        <f t="shared" si="37"/>
        <v>0</v>
      </c>
      <c r="AJ88" s="530">
        <f t="shared" si="38"/>
        <v>0</v>
      </c>
      <c r="AK88" s="530">
        <f t="shared" si="39"/>
        <v>0</v>
      </c>
      <c r="AL88" s="530">
        <f t="shared" si="40"/>
        <v>0</v>
      </c>
      <c r="AM88" s="530">
        <f t="shared" si="41"/>
        <v>0</v>
      </c>
      <c r="AN88" s="531">
        <f t="shared" si="42"/>
        <v>0</v>
      </c>
      <c r="AO88" s="531">
        <f t="shared" si="43"/>
        <v>10106.049999999999</v>
      </c>
      <c r="AP88" s="531">
        <f t="shared" si="44"/>
        <v>0</v>
      </c>
      <c r="AQ88" s="531">
        <f t="shared" si="45"/>
        <v>0</v>
      </c>
      <c r="AR88" s="531">
        <f t="shared" si="46"/>
        <v>0</v>
      </c>
      <c r="AS88" s="531">
        <f t="shared" si="47"/>
        <v>0</v>
      </c>
      <c r="AT88" s="531">
        <f t="shared" si="48"/>
        <v>0</v>
      </c>
      <c r="AU88" s="531">
        <f t="shared" si="49"/>
        <v>0</v>
      </c>
      <c r="AV88" s="531">
        <f t="shared" si="50"/>
        <v>0</v>
      </c>
      <c r="AW88" s="531">
        <f t="shared" si="51"/>
        <v>0</v>
      </c>
      <c r="AX88" s="531">
        <f t="shared" si="52"/>
        <v>0</v>
      </c>
      <c r="AY88" s="531">
        <f t="shared" si="53"/>
        <v>0</v>
      </c>
      <c r="AZ88" s="510">
        <f t="shared" si="54"/>
        <v>10106.049999999999</v>
      </c>
      <c r="BA88" s="643">
        <v>1</v>
      </c>
      <c r="BC88" s="681"/>
      <c r="BD88" s="681"/>
      <c r="BE88" s="681"/>
      <c r="BF88" s="681"/>
      <c r="BG88" s="681"/>
      <c r="BH88" s="681"/>
      <c r="BI88" s="681"/>
      <c r="BJ88" s="681"/>
      <c r="BK88" s="681"/>
      <c r="BL88" s="681"/>
      <c r="BM88" s="681"/>
      <c r="BN88" s="681"/>
      <c r="BO88" s="681"/>
      <c r="BP88" s="681"/>
      <c r="BQ88" s="681"/>
      <c r="BR88" s="681"/>
      <c r="BS88" s="681"/>
      <c r="BT88" s="681"/>
      <c r="BU88" s="681"/>
      <c r="BV88" s="681"/>
      <c r="BW88" s="681"/>
      <c r="BX88" s="681"/>
      <c r="BY88" s="681"/>
      <c r="BZ88" s="681"/>
    </row>
    <row r="89" spans="1:78" s="555" customFormat="1" x14ac:dyDescent="0.2">
      <c r="A89" s="480">
        <v>89</v>
      </c>
      <c r="B89" s="637">
        <f t="shared" si="30"/>
        <v>82</v>
      </c>
      <c r="C89" s="674" t="s">
        <v>350</v>
      </c>
      <c r="D89" s="533">
        <v>770.78</v>
      </c>
      <c r="E89" s="534">
        <v>963.48</v>
      </c>
      <c r="F89" s="534">
        <v>982.75</v>
      </c>
      <c r="G89" s="535">
        <v>1108</v>
      </c>
      <c r="H89" s="535">
        <v>1329.6</v>
      </c>
      <c r="I89" s="539">
        <v>1354.61</v>
      </c>
      <c r="J89" s="520">
        <v>1994.39</v>
      </c>
      <c r="K89" s="537">
        <v>2492.9899999999998</v>
      </c>
      <c r="L89" s="522">
        <v>3240.89</v>
      </c>
      <c r="M89" s="523">
        <v>3251.05</v>
      </c>
      <c r="N89" s="522">
        <v>5023.38</v>
      </c>
      <c r="O89" s="524">
        <v>5023.38</v>
      </c>
      <c r="P89" s="538">
        <v>8087.67</v>
      </c>
      <c r="Q89" s="538">
        <v>8087.67</v>
      </c>
      <c r="R89" s="538">
        <v>2</v>
      </c>
      <c r="S89" s="538">
        <v>3</v>
      </c>
      <c r="T89" s="538">
        <v>4</v>
      </c>
      <c r="U89" s="538">
        <v>5</v>
      </c>
      <c r="V89" s="538">
        <v>6</v>
      </c>
      <c r="W89" s="538">
        <v>7</v>
      </c>
      <c r="X89" s="538">
        <v>8</v>
      </c>
      <c r="Y89" s="538">
        <v>9</v>
      </c>
      <c r="Z89" s="538">
        <v>10</v>
      </c>
      <c r="AA89" s="538">
        <v>11</v>
      </c>
      <c r="AB89" s="526">
        <f t="shared" si="31"/>
        <v>0</v>
      </c>
      <c r="AC89" s="527">
        <f t="shared" si="32"/>
        <v>0</v>
      </c>
      <c r="AD89" s="527">
        <f t="shared" si="33"/>
        <v>0</v>
      </c>
      <c r="AE89" s="528">
        <f t="shared" si="29"/>
        <v>0</v>
      </c>
      <c r="AF89" s="528">
        <f t="shared" si="34"/>
        <v>0</v>
      </c>
      <c r="AG89" s="528">
        <f t="shared" si="35"/>
        <v>0</v>
      </c>
      <c r="AH89" s="529">
        <f t="shared" si="36"/>
        <v>0</v>
      </c>
      <c r="AI89" s="530">
        <f t="shared" si="37"/>
        <v>0</v>
      </c>
      <c r="AJ89" s="530">
        <f t="shared" si="38"/>
        <v>0</v>
      </c>
      <c r="AK89" s="530">
        <f t="shared" si="39"/>
        <v>0</v>
      </c>
      <c r="AL89" s="530">
        <f t="shared" si="40"/>
        <v>0</v>
      </c>
      <c r="AM89" s="530">
        <f t="shared" si="41"/>
        <v>0</v>
      </c>
      <c r="AN89" s="531">
        <f t="shared" si="42"/>
        <v>0</v>
      </c>
      <c r="AO89" s="531">
        <f t="shared" si="43"/>
        <v>8087.67</v>
      </c>
      <c r="AP89" s="531">
        <f t="shared" si="44"/>
        <v>0</v>
      </c>
      <c r="AQ89" s="531">
        <f t="shared" si="45"/>
        <v>0</v>
      </c>
      <c r="AR89" s="531">
        <f t="shared" si="46"/>
        <v>0</v>
      </c>
      <c r="AS89" s="531">
        <f t="shared" si="47"/>
        <v>0</v>
      </c>
      <c r="AT89" s="531">
        <f t="shared" si="48"/>
        <v>0</v>
      </c>
      <c r="AU89" s="531">
        <f t="shared" si="49"/>
        <v>0</v>
      </c>
      <c r="AV89" s="531">
        <f t="shared" si="50"/>
        <v>0</v>
      </c>
      <c r="AW89" s="531">
        <f t="shared" si="51"/>
        <v>0</v>
      </c>
      <c r="AX89" s="531">
        <f t="shared" si="52"/>
        <v>0</v>
      </c>
      <c r="AY89" s="531">
        <f t="shared" si="53"/>
        <v>0</v>
      </c>
      <c r="AZ89" s="510">
        <f t="shared" si="54"/>
        <v>8087.67</v>
      </c>
      <c r="BA89" s="643">
        <v>1</v>
      </c>
      <c r="BC89" s="681"/>
      <c r="BD89" s="681"/>
      <c r="BE89" s="681"/>
      <c r="BF89" s="681"/>
      <c r="BG89" s="681"/>
      <c r="BH89" s="681"/>
      <c r="BI89" s="681"/>
      <c r="BJ89" s="681"/>
      <c r="BK89" s="681"/>
      <c r="BL89" s="681"/>
      <c r="BM89" s="681"/>
      <c r="BN89" s="681"/>
      <c r="BO89" s="681"/>
      <c r="BP89" s="681"/>
      <c r="BQ89" s="681"/>
      <c r="BR89" s="681"/>
      <c r="BS89" s="681"/>
      <c r="BT89" s="681"/>
      <c r="BU89" s="681"/>
      <c r="BV89" s="681"/>
      <c r="BW89" s="681"/>
      <c r="BX89" s="681"/>
      <c r="BY89" s="681"/>
      <c r="BZ89" s="681"/>
    </row>
    <row r="90" spans="1:78" s="555" customFormat="1" x14ac:dyDescent="0.2">
      <c r="A90" s="480">
        <v>90</v>
      </c>
      <c r="B90" s="637">
        <f t="shared" si="30"/>
        <v>83</v>
      </c>
      <c r="C90" s="674" t="s">
        <v>351</v>
      </c>
      <c r="D90" s="533">
        <v>682.64</v>
      </c>
      <c r="E90" s="534">
        <v>853.3</v>
      </c>
      <c r="F90" s="534">
        <v>870.37</v>
      </c>
      <c r="G90" s="535">
        <v>981.3</v>
      </c>
      <c r="H90" s="535">
        <v>1177.55</v>
      </c>
      <c r="I90" s="539">
        <v>1354.61</v>
      </c>
      <c r="J90" s="520">
        <v>1766.33</v>
      </c>
      <c r="K90" s="537">
        <v>2207.91</v>
      </c>
      <c r="L90" s="522">
        <v>2870.29</v>
      </c>
      <c r="M90" s="523">
        <v>3251.05</v>
      </c>
      <c r="N90" s="522">
        <v>4448.95</v>
      </c>
      <c r="O90" s="524">
        <v>4551.47</v>
      </c>
      <c r="P90" s="538">
        <v>7162.78</v>
      </c>
      <c r="Q90" s="538">
        <v>7162.78</v>
      </c>
      <c r="R90" s="538">
        <v>2</v>
      </c>
      <c r="S90" s="538">
        <v>3</v>
      </c>
      <c r="T90" s="538">
        <v>4</v>
      </c>
      <c r="U90" s="538">
        <v>5</v>
      </c>
      <c r="V90" s="538">
        <v>6</v>
      </c>
      <c r="W90" s="538">
        <v>7</v>
      </c>
      <c r="X90" s="538">
        <v>8</v>
      </c>
      <c r="Y90" s="538">
        <v>9</v>
      </c>
      <c r="Z90" s="538">
        <v>10</v>
      </c>
      <c r="AA90" s="538">
        <v>11</v>
      </c>
      <c r="AB90" s="526">
        <f t="shared" si="31"/>
        <v>0</v>
      </c>
      <c r="AC90" s="527">
        <f t="shared" si="32"/>
        <v>0</v>
      </c>
      <c r="AD90" s="527">
        <f t="shared" si="33"/>
        <v>0</v>
      </c>
      <c r="AE90" s="528">
        <f t="shared" si="29"/>
        <v>0</v>
      </c>
      <c r="AF90" s="528">
        <f t="shared" si="34"/>
        <v>0</v>
      </c>
      <c r="AG90" s="528">
        <f t="shared" si="35"/>
        <v>0</v>
      </c>
      <c r="AH90" s="529">
        <f t="shared" si="36"/>
        <v>0</v>
      </c>
      <c r="AI90" s="530">
        <f t="shared" si="37"/>
        <v>0</v>
      </c>
      <c r="AJ90" s="530">
        <f t="shared" si="38"/>
        <v>0</v>
      </c>
      <c r="AK90" s="530">
        <f t="shared" si="39"/>
        <v>0</v>
      </c>
      <c r="AL90" s="530">
        <f t="shared" si="40"/>
        <v>0</v>
      </c>
      <c r="AM90" s="530">
        <f t="shared" si="41"/>
        <v>0</v>
      </c>
      <c r="AN90" s="531">
        <f t="shared" si="42"/>
        <v>0</v>
      </c>
      <c r="AO90" s="531">
        <f t="shared" si="43"/>
        <v>7162.78</v>
      </c>
      <c r="AP90" s="531">
        <f t="shared" si="44"/>
        <v>0</v>
      </c>
      <c r="AQ90" s="531">
        <f t="shared" si="45"/>
        <v>0</v>
      </c>
      <c r="AR90" s="531">
        <f t="shared" si="46"/>
        <v>0</v>
      </c>
      <c r="AS90" s="531">
        <f t="shared" si="47"/>
        <v>0</v>
      </c>
      <c r="AT90" s="531">
        <f t="shared" si="48"/>
        <v>0</v>
      </c>
      <c r="AU90" s="531">
        <f t="shared" si="49"/>
        <v>0</v>
      </c>
      <c r="AV90" s="531">
        <f t="shared" si="50"/>
        <v>0</v>
      </c>
      <c r="AW90" s="531">
        <f t="shared" si="51"/>
        <v>0</v>
      </c>
      <c r="AX90" s="531">
        <f t="shared" si="52"/>
        <v>0</v>
      </c>
      <c r="AY90" s="531">
        <f t="shared" si="53"/>
        <v>0</v>
      </c>
      <c r="AZ90" s="510">
        <f t="shared" si="54"/>
        <v>7162.78</v>
      </c>
      <c r="BA90" s="643">
        <v>1</v>
      </c>
      <c r="BC90" s="681"/>
      <c r="BD90" s="681"/>
      <c r="BE90" s="681"/>
      <c r="BF90" s="681"/>
      <c r="BG90" s="681"/>
      <c r="BH90" s="681"/>
      <c r="BI90" s="681"/>
      <c r="BJ90" s="681"/>
      <c r="BK90" s="681"/>
      <c r="BL90" s="681"/>
      <c r="BM90" s="681"/>
      <c r="BN90" s="681"/>
      <c r="BO90" s="681"/>
      <c r="BP90" s="681"/>
      <c r="BQ90" s="681"/>
      <c r="BR90" s="681"/>
      <c r="BS90" s="681"/>
      <c r="BT90" s="681"/>
      <c r="BU90" s="681"/>
      <c r="BV90" s="681"/>
      <c r="BW90" s="681"/>
      <c r="BX90" s="681"/>
      <c r="BY90" s="681"/>
      <c r="BZ90" s="681"/>
    </row>
    <row r="91" spans="1:78" s="555" customFormat="1" x14ac:dyDescent="0.2">
      <c r="A91" s="480">
        <v>91</v>
      </c>
      <c r="B91" s="637">
        <f t="shared" si="30"/>
        <v>84</v>
      </c>
      <c r="C91" s="674" t="s">
        <v>352</v>
      </c>
      <c r="D91" s="533">
        <v>963.14</v>
      </c>
      <c r="E91" s="534">
        <v>1203.93</v>
      </c>
      <c r="F91" s="534">
        <v>1228.01</v>
      </c>
      <c r="G91" s="535">
        <v>1384.52</v>
      </c>
      <c r="H91" s="535">
        <v>1661.42</v>
      </c>
      <c r="I91" s="536">
        <v>1661.42</v>
      </c>
      <c r="J91" s="520">
        <v>2492.12</v>
      </c>
      <c r="K91" s="537">
        <v>3115.16</v>
      </c>
      <c r="L91" s="522">
        <v>4049.7</v>
      </c>
      <c r="M91" s="523">
        <v>4049.7</v>
      </c>
      <c r="N91" s="522">
        <v>6277.04</v>
      </c>
      <c r="O91" s="524">
        <v>6277.04</v>
      </c>
      <c r="P91" s="538">
        <v>10106.049999999999</v>
      </c>
      <c r="Q91" s="538">
        <v>10106.049999999999</v>
      </c>
      <c r="R91" s="538">
        <v>2</v>
      </c>
      <c r="S91" s="538">
        <v>3</v>
      </c>
      <c r="T91" s="538">
        <v>4</v>
      </c>
      <c r="U91" s="538">
        <v>5</v>
      </c>
      <c r="V91" s="538">
        <v>6</v>
      </c>
      <c r="W91" s="538">
        <v>7</v>
      </c>
      <c r="X91" s="538">
        <v>8</v>
      </c>
      <c r="Y91" s="538">
        <v>9</v>
      </c>
      <c r="Z91" s="538">
        <v>10</v>
      </c>
      <c r="AA91" s="538">
        <v>11</v>
      </c>
      <c r="AB91" s="526">
        <f t="shared" si="31"/>
        <v>0</v>
      </c>
      <c r="AC91" s="527">
        <f t="shared" si="32"/>
        <v>0</v>
      </c>
      <c r="AD91" s="527">
        <f t="shared" si="33"/>
        <v>0</v>
      </c>
      <c r="AE91" s="528">
        <f t="shared" si="29"/>
        <v>0</v>
      </c>
      <c r="AF91" s="528">
        <f t="shared" si="34"/>
        <v>0</v>
      </c>
      <c r="AG91" s="528">
        <f t="shared" si="35"/>
        <v>0</v>
      </c>
      <c r="AH91" s="529">
        <f t="shared" si="36"/>
        <v>0</v>
      </c>
      <c r="AI91" s="530">
        <f t="shared" si="37"/>
        <v>0</v>
      </c>
      <c r="AJ91" s="530">
        <f t="shared" si="38"/>
        <v>0</v>
      </c>
      <c r="AK91" s="530">
        <f t="shared" si="39"/>
        <v>0</v>
      </c>
      <c r="AL91" s="530">
        <f t="shared" si="40"/>
        <v>0</v>
      </c>
      <c r="AM91" s="530">
        <f t="shared" si="41"/>
        <v>0</v>
      </c>
      <c r="AN91" s="531">
        <f t="shared" si="42"/>
        <v>0</v>
      </c>
      <c r="AO91" s="531">
        <f t="shared" si="43"/>
        <v>10106.049999999999</v>
      </c>
      <c r="AP91" s="531">
        <f t="shared" si="44"/>
        <v>0</v>
      </c>
      <c r="AQ91" s="531">
        <f t="shared" si="45"/>
        <v>0</v>
      </c>
      <c r="AR91" s="531">
        <f t="shared" si="46"/>
        <v>0</v>
      </c>
      <c r="AS91" s="531">
        <f t="shared" si="47"/>
        <v>0</v>
      </c>
      <c r="AT91" s="531">
        <f t="shared" si="48"/>
        <v>0</v>
      </c>
      <c r="AU91" s="531">
        <f t="shared" si="49"/>
        <v>0</v>
      </c>
      <c r="AV91" s="531">
        <f t="shared" si="50"/>
        <v>0</v>
      </c>
      <c r="AW91" s="531">
        <f t="shared" si="51"/>
        <v>0</v>
      </c>
      <c r="AX91" s="531">
        <f t="shared" si="52"/>
        <v>0</v>
      </c>
      <c r="AY91" s="531">
        <f t="shared" si="53"/>
        <v>0</v>
      </c>
      <c r="AZ91" s="510">
        <f t="shared" si="54"/>
        <v>10106.049999999999</v>
      </c>
      <c r="BA91" s="643">
        <v>1</v>
      </c>
      <c r="BC91" s="681"/>
      <c r="BD91" s="681"/>
      <c r="BE91" s="681"/>
      <c r="BF91" s="681"/>
      <c r="BG91" s="681"/>
      <c r="BH91" s="681"/>
      <c r="BI91" s="681"/>
      <c r="BJ91" s="681"/>
      <c r="BK91" s="681"/>
      <c r="BL91" s="681"/>
      <c r="BM91" s="681"/>
      <c r="BN91" s="681"/>
      <c r="BO91" s="681"/>
      <c r="BP91" s="681"/>
      <c r="BQ91" s="681"/>
      <c r="BR91" s="681"/>
      <c r="BS91" s="681"/>
      <c r="BT91" s="681"/>
      <c r="BU91" s="681"/>
      <c r="BV91" s="681"/>
      <c r="BW91" s="681"/>
      <c r="BX91" s="681"/>
      <c r="BY91" s="681"/>
      <c r="BZ91" s="681"/>
    </row>
    <row r="92" spans="1:78" s="555" customFormat="1" x14ac:dyDescent="0.2">
      <c r="A92" s="480">
        <v>92</v>
      </c>
      <c r="B92" s="637">
        <f t="shared" si="30"/>
        <v>85</v>
      </c>
      <c r="C92" s="672" t="s">
        <v>353</v>
      </c>
      <c r="D92" s="533">
        <v>698.72</v>
      </c>
      <c r="E92" s="534">
        <v>873.4</v>
      </c>
      <c r="F92" s="534">
        <v>890.87</v>
      </c>
      <c r="G92" s="535">
        <v>1004.41</v>
      </c>
      <c r="H92" s="535">
        <v>1205.29</v>
      </c>
      <c r="I92" s="539">
        <v>1354.61</v>
      </c>
      <c r="J92" s="520">
        <v>1807.94</v>
      </c>
      <c r="K92" s="537">
        <v>2259.92</v>
      </c>
      <c r="L92" s="522">
        <v>2937.9</v>
      </c>
      <c r="M92" s="523">
        <v>3251.05</v>
      </c>
      <c r="N92" s="522">
        <v>4553.74</v>
      </c>
      <c r="O92" s="524">
        <v>4553.74</v>
      </c>
      <c r="P92" s="538">
        <v>7331.52</v>
      </c>
      <c r="Q92" s="538">
        <v>7331.52</v>
      </c>
      <c r="R92" s="538">
        <v>2</v>
      </c>
      <c r="S92" s="538">
        <v>3</v>
      </c>
      <c r="T92" s="538">
        <v>4</v>
      </c>
      <c r="U92" s="538">
        <v>5</v>
      </c>
      <c r="V92" s="538">
        <v>6</v>
      </c>
      <c r="W92" s="538">
        <v>7</v>
      </c>
      <c r="X92" s="538">
        <v>8</v>
      </c>
      <c r="Y92" s="538">
        <v>9</v>
      </c>
      <c r="Z92" s="538">
        <v>10</v>
      </c>
      <c r="AA92" s="538">
        <v>11</v>
      </c>
      <c r="AB92" s="526">
        <f t="shared" si="31"/>
        <v>0</v>
      </c>
      <c r="AC92" s="527">
        <f t="shared" si="32"/>
        <v>0</v>
      </c>
      <c r="AD92" s="527">
        <f t="shared" si="33"/>
        <v>0</v>
      </c>
      <c r="AE92" s="528">
        <f t="shared" si="29"/>
        <v>0</v>
      </c>
      <c r="AF92" s="528">
        <f t="shared" si="34"/>
        <v>0</v>
      </c>
      <c r="AG92" s="528">
        <f t="shared" si="35"/>
        <v>0</v>
      </c>
      <c r="AH92" s="529">
        <f t="shared" si="36"/>
        <v>0</v>
      </c>
      <c r="AI92" s="530">
        <f t="shared" si="37"/>
        <v>0</v>
      </c>
      <c r="AJ92" s="530">
        <f t="shared" si="38"/>
        <v>0</v>
      </c>
      <c r="AK92" s="530">
        <f t="shared" si="39"/>
        <v>0</v>
      </c>
      <c r="AL92" s="530">
        <f t="shared" si="40"/>
        <v>0</v>
      </c>
      <c r="AM92" s="530">
        <f t="shared" si="41"/>
        <v>0</v>
      </c>
      <c r="AN92" s="531">
        <f t="shared" si="42"/>
        <v>0</v>
      </c>
      <c r="AO92" s="531">
        <f t="shared" si="43"/>
        <v>7331.52</v>
      </c>
      <c r="AP92" s="531">
        <f t="shared" si="44"/>
        <v>0</v>
      </c>
      <c r="AQ92" s="531">
        <f t="shared" si="45"/>
        <v>0</v>
      </c>
      <c r="AR92" s="531">
        <f t="shared" si="46"/>
        <v>0</v>
      </c>
      <c r="AS92" s="531">
        <f t="shared" si="47"/>
        <v>0</v>
      </c>
      <c r="AT92" s="531">
        <f t="shared" si="48"/>
        <v>0</v>
      </c>
      <c r="AU92" s="531">
        <f t="shared" si="49"/>
        <v>0</v>
      </c>
      <c r="AV92" s="531">
        <f t="shared" si="50"/>
        <v>0</v>
      </c>
      <c r="AW92" s="531">
        <f t="shared" si="51"/>
        <v>0</v>
      </c>
      <c r="AX92" s="531">
        <f t="shared" si="52"/>
        <v>0</v>
      </c>
      <c r="AY92" s="531">
        <f t="shared" si="53"/>
        <v>0</v>
      </c>
      <c r="AZ92" s="510">
        <f t="shared" si="54"/>
        <v>7331.52</v>
      </c>
      <c r="BA92" s="643"/>
      <c r="BC92" s="681"/>
      <c r="BD92" s="681"/>
      <c r="BE92" s="681"/>
      <c r="BF92" s="681"/>
      <c r="BG92" s="681"/>
      <c r="BH92" s="681"/>
      <c r="BI92" s="681"/>
      <c r="BJ92" s="681"/>
      <c r="BK92" s="681"/>
      <c r="BL92" s="681"/>
      <c r="BM92" s="681"/>
      <c r="BN92" s="681"/>
      <c r="BO92" s="681"/>
      <c r="BP92" s="681"/>
      <c r="BQ92" s="681"/>
      <c r="BR92" s="681"/>
      <c r="BS92" s="681"/>
      <c r="BT92" s="681"/>
      <c r="BU92" s="681"/>
      <c r="BV92" s="681"/>
      <c r="BW92" s="681"/>
      <c r="BX92" s="681"/>
      <c r="BY92" s="681"/>
      <c r="BZ92" s="681"/>
    </row>
    <row r="93" spans="1:78" s="555" customFormat="1" x14ac:dyDescent="0.2">
      <c r="A93" s="480">
        <v>93</v>
      </c>
      <c r="B93" s="637">
        <f t="shared" si="30"/>
        <v>86</v>
      </c>
      <c r="C93" s="672" t="s">
        <v>354</v>
      </c>
      <c r="D93" s="533">
        <v>675.06</v>
      </c>
      <c r="E93" s="534">
        <v>843.83</v>
      </c>
      <c r="F93" s="534">
        <v>860.71</v>
      </c>
      <c r="G93" s="535">
        <v>970.4</v>
      </c>
      <c r="H93" s="535">
        <v>1164.48</v>
      </c>
      <c r="I93" s="539">
        <v>1354.61</v>
      </c>
      <c r="J93" s="520">
        <v>1746.72</v>
      </c>
      <c r="K93" s="537">
        <v>2183.4</v>
      </c>
      <c r="L93" s="522">
        <v>2838.42</v>
      </c>
      <c r="M93" s="523">
        <v>3251.05</v>
      </c>
      <c r="N93" s="522">
        <v>4399.55</v>
      </c>
      <c r="O93" s="524">
        <v>4551.47</v>
      </c>
      <c r="P93" s="538">
        <v>7083.28</v>
      </c>
      <c r="Q93" s="538">
        <v>7083.28</v>
      </c>
      <c r="R93" s="538">
        <v>2</v>
      </c>
      <c r="S93" s="538">
        <v>3</v>
      </c>
      <c r="T93" s="538">
        <v>4</v>
      </c>
      <c r="U93" s="538">
        <v>5</v>
      </c>
      <c r="V93" s="538">
        <v>6</v>
      </c>
      <c r="W93" s="538">
        <v>7</v>
      </c>
      <c r="X93" s="538">
        <v>8</v>
      </c>
      <c r="Y93" s="538">
        <v>9</v>
      </c>
      <c r="Z93" s="538">
        <v>10</v>
      </c>
      <c r="AA93" s="538">
        <v>11</v>
      </c>
      <c r="AB93" s="526">
        <f t="shared" si="31"/>
        <v>0</v>
      </c>
      <c r="AC93" s="527">
        <f t="shared" si="32"/>
        <v>0</v>
      </c>
      <c r="AD93" s="527">
        <f t="shared" si="33"/>
        <v>0</v>
      </c>
      <c r="AE93" s="528">
        <f t="shared" si="29"/>
        <v>0</v>
      </c>
      <c r="AF93" s="528">
        <f t="shared" si="34"/>
        <v>0</v>
      </c>
      <c r="AG93" s="528">
        <f t="shared" si="35"/>
        <v>0</v>
      </c>
      <c r="AH93" s="529">
        <f t="shared" si="36"/>
        <v>0</v>
      </c>
      <c r="AI93" s="530">
        <f t="shared" si="37"/>
        <v>0</v>
      </c>
      <c r="AJ93" s="530">
        <f t="shared" si="38"/>
        <v>0</v>
      </c>
      <c r="AK93" s="530">
        <f t="shared" si="39"/>
        <v>0</v>
      </c>
      <c r="AL93" s="530">
        <f t="shared" si="40"/>
        <v>0</v>
      </c>
      <c r="AM93" s="530">
        <f t="shared" si="41"/>
        <v>0</v>
      </c>
      <c r="AN93" s="531">
        <f t="shared" si="42"/>
        <v>0</v>
      </c>
      <c r="AO93" s="531">
        <f t="shared" si="43"/>
        <v>7083.28</v>
      </c>
      <c r="AP93" s="531">
        <f t="shared" si="44"/>
        <v>0</v>
      </c>
      <c r="AQ93" s="531">
        <f t="shared" si="45"/>
        <v>0</v>
      </c>
      <c r="AR93" s="531">
        <f t="shared" si="46"/>
        <v>0</v>
      </c>
      <c r="AS93" s="531">
        <f t="shared" si="47"/>
        <v>0</v>
      </c>
      <c r="AT93" s="531">
        <f t="shared" si="48"/>
        <v>0</v>
      </c>
      <c r="AU93" s="531">
        <f t="shared" si="49"/>
        <v>0</v>
      </c>
      <c r="AV93" s="531">
        <f t="shared" si="50"/>
        <v>0</v>
      </c>
      <c r="AW93" s="531">
        <f t="shared" si="51"/>
        <v>0</v>
      </c>
      <c r="AX93" s="531">
        <f t="shared" si="52"/>
        <v>0</v>
      </c>
      <c r="AY93" s="531">
        <f t="shared" si="53"/>
        <v>0</v>
      </c>
      <c r="AZ93" s="510">
        <f t="shared" si="54"/>
        <v>7083.28</v>
      </c>
      <c r="BA93" s="643"/>
      <c r="BC93" s="681"/>
      <c r="BD93" s="681"/>
      <c r="BE93" s="681"/>
      <c r="BF93" s="681"/>
      <c r="BG93" s="681"/>
      <c r="BH93" s="681"/>
      <c r="BI93" s="681"/>
      <c r="BJ93" s="681"/>
      <c r="BK93" s="681"/>
      <c r="BL93" s="681"/>
      <c r="BM93" s="681"/>
      <c r="BN93" s="681"/>
      <c r="BO93" s="681"/>
      <c r="BP93" s="681"/>
      <c r="BQ93" s="681"/>
      <c r="BR93" s="681"/>
      <c r="BS93" s="681"/>
      <c r="BT93" s="681"/>
      <c r="BU93" s="681"/>
      <c r="BV93" s="681"/>
      <c r="BW93" s="681"/>
      <c r="BX93" s="681"/>
      <c r="BY93" s="681"/>
      <c r="BZ93" s="681"/>
    </row>
    <row r="94" spans="1:78" s="555" customFormat="1" x14ac:dyDescent="0.2">
      <c r="A94" s="480">
        <v>94</v>
      </c>
      <c r="B94" s="637">
        <f t="shared" si="30"/>
        <v>87</v>
      </c>
      <c r="C94" s="672" t="s">
        <v>355</v>
      </c>
      <c r="D94" s="533">
        <v>675.06</v>
      </c>
      <c r="E94" s="534">
        <v>843.83</v>
      </c>
      <c r="F94" s="534">
        <v>860.71</v>
      </c>
      <c r="G94" s="535">
        <v>970.4</v>
      </c>
      <c r="H94" s="535">
        <v>1164.48</v>
      </c>
      <c r="I94" s="539">
        <v>1354.61</v>
      </c>
      <c r="J94" s="520">
        <v>1746.72</v>
      </c>
      <c r="K94" s="537">
        <v>2183.4</v>
      </c>
      <c r="L94" s="522">
        <v>2838.42</v>
      </c>
      <c r="M94" s="523">
        <v>3251.05</v>
      </c>
      <c r="N94" s="522">
        <v>4399.55</v>
      </c>
      <c r="O94" s="524">
        <v>4551.47</v>
      </c>
      <c r="P94" s="538">
        <v>7083.28</v>
      </c>
      <c r="Q94" s="538">
        <v>7083.28</v>
      </c>
      <c r="R94" s="538">
        <v>2</v>
      </c>
      <c r="S94" s="538">
        <v>3</v>
      </c>
      <c r="T94" s="538">
        <v>4</v>
      </c>
      <c r="U94" s="538">
        <v>5</v>
      </c>
      <c r="V94" s="538">
        <v>6</v>
      </c>
      <c r="W94" s="538">
        <v>7</v>
      </c>
      <c r="X94" s="538">
        <v>8</v>
      </c>
      <c r="Y94" s="538">
        <v>9</v>
      </c>
      <c r="Z94" s="538">
        <v>10</v>
      </c>
      <c r="AA94" s="538">
        <v>11</v>
      </c>
      <c r="AB94" s="526">
        <f t="shared" si="31"/>
        <v>0</v>
      </c>
      <c r="AC94" s="527">
        <f t="shared" si="32"/>
        <v>0</v>
      </c>
      <c r="AD94" s="527">
        <f t="shared" si="33"/>
        <v>0</v>
      </c>
      <c r="AE94" s="528">
        <f t="shared" si="29"/>
        <v>0</v>
      </c>
      <c r="AF94" s="528">
        <f t="shared" si="34"/>
        <v>0</v>
      </c>
      <c r="AG94" s="528">
        <f t="shared" si="35"/>
        <v>0</v>
      </c>
      <c r="AH94" s="529">
        <f t="shared" si="36"/>
        <v>0</v>
      </c>
      <c r="AI94" s="530">
        <f t="shared" si="37"/>
        <v>0</v>
      </c>
      <c r="AJ94" s="530">
        <f t="shared" si="38"/>
        <v>0</v>
      </c>
      <c r="AK94" s="530">
        <f t="shared" si="39"/>
        <v>0</v>
      </c>
      <c r="AL94" s="530">
        <f t="shared" si="40"/>
        <v>0</v>
      </c>
      <c r="AM94" s="530">
        <f t="shared" si="41"/>
        <v>0</v>
      </c>
      <c r="AN94" s="531">
        <f t="shared" si="42"/>
        <v>0</v>
      </c>
      <c r="AO94" s="531">
        <f t="shared" si="43"/>
        <v>7083.28</v>
      </c>
      <c r="AP94" s="531">
        <f t="shared" si="44"/>
        <v>0</v>
      </c>
      <c r="AQ94" s="531">
        <f t="shared" si="45"/>
        <v>0</v>
      </c>
      <c r="AR94" s="531">
        <f t="shared" si="46"/>
        <v>0</v>
      </c>
      <c r="AS94" s="531">
        <f t="shared" si="47"/>
        <v>0</v>
      </c>
      <c r="AT94" s="531">
        <f t="shared" si="48"/>
        <v>0</v>
      </c>
      <c r="AU94" s="531">
        <f t="shared" si="49"/>
        <v>0</v>
      </c>
      <c r="AV94" s="531">
        <f t="shared" si="50"/>
        <v>0</v>
      </c>
      <c r="AW94" s="531">
        <f t="shared" si="51"/>
        <v>0</v>
      </c>
      <c r="AX94" s="531">
        <f t="shared" si="52"/>
        <v>0</v>
      </c>
      <c r="AY94" s="531">
        <f t="shared" si="53"/>
        <v>0</v>
      </c>
      <c r="AZ94" s="510">
        <f t="shared" si="54"/>
        <v>7083.28</v>
      </c>
      <c r="BA94" s="643"/>
      <c r="BC94" s="681"/>
      <c r="BD94" s="681"/>
      <c r="BE94" s="681"/>
      <c r="BF94" s="681"/>
      <c r="BG94" s="681"/>
      <c r="BH94" s="681"/>
      <c r="BI94" s="681"/>
      <c r="BJ94" s="681"/>
      <c r="BK94" s="681"/>
      <c r="BL94" s="681"/>
      <c r="BM94" s="681"/>
      <c r="BN94" s="681"/>
      <c r="BO94" s="681"/>
      <c r="BP94" s="681"/>
      <c r="BQ94" s="681"/>
      <c r="BR94" s="681"/>
      <c r="BS94" s="681"/>
      <c r="BT94" s="681"/>
      <c r="BU94" s="681"/>
      <c r="BV94" s="681"/>
      <c r="BW94" s="681"/>
      <c r="BX94" s="681"/>
      <c r="BY94" s="681"/>
      <c r="BZ94" s="681"/>
    </row>
    <row r="95" spans="1:78" s="555" customFormat="1" x14ac:dyDescent="0.2">
      <c r="A95" s="480">
        <v>95</v>
      </c>
      <c r="B95" s="637">
        <f t="shared" si="30"/>
        <v>88</v>
      </c>
      <c r="C95" s="672" t="s">
        <v>356</v>
      </c>
      <c r="D95" s="533">
        <v>787.32</v>
      </c>
      <c r="E95" s="534">
        <v>984.15</v>
      </c>
      <c r="F95" s="534">
        <v>1003.83</v>
      </c>
      <c r="G95" s="535">
        <v>1131.77</v>
      </c>
      <c r="H95" s="535">
        <v>1358.13</v>
      </c>
      <c r="I95" s="536">
        <v>1358.13</v>
      </c>
      <c r="J95" s="520">
        <v>2037.19</v>
      </c>
      <c r="K95" s="537">
        <v>2546.4899999999998</v>
      </c>
      <c r="L95" s="522">
        <v>3310.43</v>
      </c>
      <c r="M95" s="523">
        <v>3310.43</v>
      </c>
      <c r="N95" s="522">
        <v>5131.17</v>
      </c>
      <c r="O95" s="524">
        <v>5131.17</v>
      </c>
      <c r="P95" s="538">
        <v>8261.2099999999991</v>
      </c>
      <c r="Q95" s="538">
        <v>8261.2099999999991</v>
      </c>
      <c r="R95" s="538">
        <v>2</v>
      </c>
      <c r="S95" s="538">
        <v>3</v>
      </c>
      <c r="T95" s="538">
        <v>4</v>
      </c>
      <c r="U95" s="538">
        <v>5</v>
      </c>
      <c r="V95" s="538">
        <v>6</v>
      </c>
      <c r="W95" s="538">
        <v>7</v>
      </c>
      <c r="X95" s="538">
        <v>8</v>
      </c>
      <c r="Y95" s="538">
        <v>9</v>
      </c>
      <c r="Z95" s="538">
        <v>10</v>
      </c>
      <c r="AA95" s="538">
        <v>11</v>
      </c>
      <c r="AB95" s="526">
        <f t="shared" si="31"/>
        <v>0</v>
      </c>
      <c r="AC95" s="527">
        <f t="shared" si="32"/>
        <v>0</v>
      </c>
      <c r="AD95" s="527">
        <f t="shared" si="33"/>
        <v>0</v>
      </c>
      <c r="AE95" s="528">
        <f t="shared" si="29"/>
        <v>0</v>
      </c>
      <c r="AF95" s="528">
        <f t="shared" si="34"/>
        <v>0</v>
      </c>
      <c r="AG95" s="528">
        <f t="shared" si="35"/>
        <v>0</v>
      </c>
      <c r="AH95" s="529">
        <f t="shared" si="36"/>
        <v>0</v>
      </c>
      <c r="AI95" s="530">
        <f t="shared" si="37"/>
        <v>0</v>
      </c>
      <c r="AJ95" s="530">
        <f t="shared" si="38"/>
        <v>0</v>
      </c>
      <c r="AK95" s="530">
        <f t="shared" si="39"/>
        <v>0</v>
      </c>
      <c r="AL95" s="530">
        <f t="shared" si="40"/>
        <v>0</v>
      </c>
      <c r="AM95" s="530">
        <f t="shared" si="41"/>
        <v>0</v>
      </c>
      <c r="AN95" s="531">
        <f t="shared" si="42"/>
        <v>0</v>
      </c>
      <c r="AO95" s="531">
        <f t="shared" si="43"/>
        <v>8261.2099999999991</v>
      </c>
      <c r="AP95" s="531">
        <f t="shared" si="44"/>
        <v>0</v>
      </c>
      <c r="AQ95" s="531">
        <f t="shared" si="45"/>
        <v>0</v>
      </c>
      <c r="AR95" s="531">
        <f t="shared" si="46"/>
        <v>0</v>
      </c>
      <c r="AS95" s="531">
        <f t="shared" si="47"/>
        <v>0</v>
      </c>
      <c r="AT95" s="531">
        <f t="shared" si="48"/>
        <v>0</v>
      </c>
      <c r="AU95" s="531">
        <f t="shared" si="49"/>
        <v>0</v>
      </c>
      <c r="AV95" s="531">
        <f t="shared" si="50"/>
        <v>0</v>
      </c>
      <c r="AW95" s="531">
        <f t="shared" si="51"/>
        <v>0</v>
      </c>
      <c r="AX95" s="531">
        <f t="shared" si="52"/>
        <v>0</v>
      </c>
      <c r="AY95" s="531">
        <f t="shared" si="53"/>
        <v>0</v>
      </c>
      <c r="AZ95" s="510">
        <f t="shared" si="54"/>
        <v>8261.2099999999991</v>
      </c>
      <c r="BA95" s="643"/>
      <c r="BC95" s="681"/>
      <c r="BD95" s="681"/>
      <c r="BE95" s="681"/>
      <c r="BF95" s="681"/>
      <c r="BG95" s="681"/>
      <c r="BH95" s="681"/>
      <c r="BI95" s="681"/>
      <c r="BJ95" s="681"/>
      <c r="BK95" s="681"/>
      <c r="BL95" s="681"/>
      <c r="BM95" s="681"/>
      <c r="BN95" s="681"/>
      <c r="BO95" s="681"/>
      <c r="BP95" s="681"/>
      <c r="BQ95" s="681"/>
      <c r="BR95" s="681"/>
      <c r="BS95" s="681"/>
      <c r="BT95" s="681"/>
      <c r="BU95" s="681"/>
      <c r="BV95" s="681"/>
      <c r="BW95" s="681"/>
      <c r="BX95" s="681"/>
      <c r="BY95" s="681"/>
      <c r="BZ95" s="681"/>
    </row>
    <row r="96" spans="1:78" s="555" customFormat="1" x14ac:dyDescent="0.2">
      <c r="A96" s="480">
        <v>96</v>
      </c>
      <c r="B96" s="637">
        <f t="shared" si="30"/>
        <v>89</v>
      </c>
      <c r="C96" s="672" t="s">
        <v>357</v>
      </c>
      <c r="D96" s="533">
        <v>755.02</v>
      </c>
      <c r="E96" s="534">
        <v>943.78</v>
      </c>
      <c r="F96" s="534">
        <v>962.66</v>
      </c>
      <c r="G96" s="535">
        <v>1085.3499999999999</v>
      </c>
      <c r="H96" s="535">
        <v>1302.4100000000001</v>
      </c>
      <c r="I96" s="539">
        <v>1354.61</v>
      </c>
      <c r="J96" s="520">
        <v>1953.61</v>
      </c>
      <c r="K96" s="537">
        <v>2442.02</v>
      </c>
      <c r="L96" s="522">
        <v>3174.62</v>
      </c>
      <c r="M96" s="523">
        <v>3251.05</v>
      </c>
      <c r="N96" s="522">
        <v>4920.67</v>
      </c>
      <c r="O96" s="524">
        <v>4920.67</v>
      </c>
      <c r="P96" s="538">
        <v>7922.28</v>
      </c>
      <c r="Q96" s="538">
        <v>7922.28</v>
      </c>
      <c r="R96" s="538">
        <v>2</v>
      </c>
      <c r="S96" s="538">
        <v>3</v>
      </c>
      <c r="T96" s="538">
        <v>4</v>
      </c>
      <c r="U96" s="538">
        <v>5</v>
      </c>
      <c r="V96" s="538">
        <v>6</v>
      </c>
      <c r="W96" s="538">
        <v>7</v>
      </c>
      <c r="X96" s="538">
        <v>8</v>
      </c>
      <c r="Y96" s="538">
        <v>9</v>
      </c>
      <c r="Z96" s="538">
        <v>10</v>
      </c>
      <c r="AA96" s="538">
        <v>11</v>
      </c>
      <c r="AB96" s="526">
        <f t="shared" si="31"/>
        <v>0</v>
      </c>
      <c r="AC96" s="527">
        <f t="shared" si="32"/>
        <v>0</v>
      </c>
      <c r="AD96" s="527">
        <f t="shared" si="33"/>
        <v>0</v>
      </c>
      <c r="AE96" s="528">
        <f t="shared" si="29"/>
        <v>0</v>
      </c>
      <c r="AF96" s="528">
        <f t="shared" si="34"/>
        <v>0</v>
      </c>
      <c r="AG96" s="528">
        <f t="shared" si="35"/>
        <v>0</v>
      </c>
      <c r="AH96" s="529">
        <f t="shared" si="36"/>
        <v>0</v>
      </c>
      <c r="AI96" s="530">
        <f t="shared" si="37"/>
        <v>0</v>
      </c>
      <c r="AJ96" s="530">
        <f t="shared" si="38"/>
        <v>0</v>
      </c>
      <c r="AK96" s="530">
        <f t="shared" si="39"/>
        <v>0</v>
      </c>
      <c r="AL96" s="530">
        <f t="shared" si="40"/>
        <v>0</v>
      </c>
      <c r="AM96" s="530">
        <f t="shared" si="41"/>
        <v>0</v>
      </c>
      <c r="AN96" s="531">
        <f t="shared" si="42"/>
        <v>0</v>
      </c>
      <c r="AO96" s="531">
        <f t="shared" si="43"/>
        <v>7922.28</v>
      </c>
      <c r="AP96" s="531">
        <f t="shared" si="44"/>
        <v>0</v>
      </c>
      <c r="AQ96" s="531">
        <f t="shared" si="45"/>
        <v>0</v>
      </c>
      <c r="AR96" s="531">
        <f t="shared" si="46"/>
        <v>0</v>
      </c>
      <c r="AS96" s="531">
        <f t="shared" si="47"/>
        <v>0</v>
      </c>
      <c r="AT96" s="531">
        <f t="shared" si="48"/>
        <v>0</v>
      </c>
      <c r="AU96" s="531">
        <f t="shared" si="49"/>
        <v>0</v>
      </c>
      <c r="AV96" s="531">
        <f t="shared" si="50"/>
        <v>0</v>
      </c>
      <c r="AW96" s="531">
        <f t="shared" si="51"/>
        <v>0</v>
      </c>
      <c r="AX96" s="531">
        <f t="shared" si="52"/>
        <v>0</v>
      </c>
      <c r="AY96" s="531">
        <f t="shared" si="53"/>
        <v>0</v>
      </c>
      <c r="AZ96" s="510">
        <f t="shared" si="54"/>
        <v>7922.28</v>
      </c>
      <c r="BA96" s="643"/>
      <c r="BC96" s="681"/>
      <c r="BD96" s="681"/>
      <c r="BE96" s="681"/>
      <c r="BF96" s="681"/>
      <c r="BG96" s="681"/>
      <c r="BH96" s="681"/>
      <c r="BI96" s="681"/>
      <c r="BJ96" s="681"/>
      <c r="BK96" s="681"/>
      <c r="BL96" s="681"/>
      <c r="BM96" s="681"/>
      <c r="BN96" s="681"/>
      <c r="BO96" s="681"/>
      <c r="BP96" s="681"/>
      <c r="BQ96" s="681"/>
      <c r="BR96" s="681"/>
      <c r="BS96" s="681"/>
      <c r="BT96" s="681"/>
      <c r="BU96" s="681"/>
      <c r="BV96" s="681"/>
      <c r="BW96" s="681"/>
      <c r="BX96" s="681"/>
      <c r="BY96" s="681"/>
      <c r="BZ96" s="681"/>
    </row>
    <row r="97" spans="1:53" x14ac:dyDescent="0.2">
      <c r="A97" s="480">
        <v>97</v>
      </c>
      <c r="B97" s="637">
        <f t="shared" si="30"/>
        <v>90</v>
      </c>
      <c r="C97" s="672" t="s">
        <v>358</v>
      </c>
      <c r="D97" s="516">
        <v>610.14</v>
      </c>
      <c r="E97" s="517">
        <v>762.68</v>
      </c>
      <c r="F97" s="517">
        <v>777.93</v>
      </c>
      <c r="G97" s="518">
        <v>877.08</v>
      </c>
      <c r="H97" s="518">
        <v>1052.49</v>
      </c>
      <c r="I97" s="519">
        <v>1354.61</v>
      </c>
      <c r="J97" s="520">
        <v>1578.74</v>
      </c>
      <c r="K97" s="521">
        <v>2167.37</v>
      </c>
      <c r="L97" s="522">
        <v>2565.4499999999998</v>
      </c>
      <c r="M97" s="523">
        <v>3251.05</v>
      </c>
      <c r="N97" s="522">
        <v>3976.44</v>
      </c>
      <c r="O97" s="524">
        <v>4551.47</v>
      </c>
      <c r="P97" s="525">
        <v>6402.07</v>
      </c>
      <c r="Q97" s="525">
        <v>6402.07</v>
      </c>
      <c r="R97" s="525">
        <v>2</v>
      </c>
      <c r="S97" s="525">
        <v>3</v>
      </c>
      <c r="T97" s="525">
        <v>4</v>
      </c>
      <c r="U97" s="525">
        <v>5</v>
      </c>
      <c r="V97" s="525">
        <v>6</v>
      </c>
      <c r="W97" s="525">
        <v>7</v>
      </c>
      <c r="X97" s="525">
        <v>8</v>
      </c>
      <c r="Y97" s="525">
        <v>9</v>
      </c>
      <c r="Z97" s="525">
        <v>10</v>
      </c>
      <c r="AA97" s="525">
        <v>11</v>
      </c>
      <c r="AB97" s="526">
        <f t="shared" si="31"/>
        <v>0</v>
      </c>
      <c r="AC97" s="527">
        <f t="shared" si="32"/>
        <v>0</v>
      </c>
      <c r="AD97" s="527">
        <f t="shared" si="33"/>
        <v>0</v>
      </c>
      <c r="AE97" s="528">
        <f t="shared" si="29"/>
        <v>0</v>
      </c>
      <c r="AF97" s="528">
        <f t="shared" si="34"/>
        <v>0</v>
      </c>
      <c r="AG97" s="528">
        <f t="shared" si="35"/>
        <v>0</v>
      </c>
      <c r="AH97" s="529">
        <f t="shared" si="36"/>
        <v>0</v>
      </c>
      <c r="AI97" s="530">
        <f t="shared" si="37"/>
        <v>0</v>
      </c>
      <c r="AJ97" s="530">
        <f t="shared" si="38"/>
        <v>0</v>
      </c>
      <c r="AK97" s="530">
        <f t="shared" si="39"/>
        <v>0</v>
      </c>
      <c r="AL97" s="530">
        <f t="shared" si="40"/>
        <v>0</v>
      </c>
      <c r="AM97" s="530">
        <f t="shared" si="41"/>
        <v>0</v>
      </c>
      <c r="AN97" s="531">
        <f t="shared" si="42"/>
        <v>0</v>
      </c>
      <c r="AO97" s="531">
        <f t="shared" si="43"/>
        <v>6402.07</v>
      </c>
      <c r="AP97" s="531">
        <f t="shared" si="44"/>
        <v>0</v>
      </c>
      <c r="AQ97" s="531">
        <f t="shared" si="45"/>
        <v>0</v>
      </c>
      <c r="AR97" s="531">
        <f t="shared" si="46"/>
        <v>0</v>
      </c>
      <c r="AS97" s="531">
        <f t="shared" si="47"/>
        <v>0</v>
      </c>
      <c r="AT97" s="531">
        <f t="shared" si="48"/>
        <v>0</v>
      </c>
      <c r="AU97" s="531">
        <f t="shared" si="49"/>
        <v>0</v>
      </c>
      <c r="AV97" s="531">
        <f t="shared" si="50"/>
        <v>0</v>
      </c>
      <c r="AW97" s="531">
        <f t="shared" si="51"/>
        <v>0</v>
      </c>
      <c r="AX97" s="531">
        <f t="shared" si="52"/>
        <v>0</v>
      </c>
      <c r="AY97" s="531">
        <f t="shared" si="53"/>
        <v>0</v>
      </c>
      <c r="AZ97" s="510">
        <f t="shared" si="54"/>
        <v>6402.07</v>
      </c>
      <c r="BA97" s="643"/>
    </row>
    <row r="98" spans="1:53" x14ac:dyDescent="0.2">
      <c r="A98" s="480">
        <v>98</v>
      </c>
      <c r="B98" s="637">
        <f t="shared" si="30"/>
        <v>91</v>
      </c>
      <c r="C98" s="672" t="s">
        <v>359</v>
      </c>
      <c r="D98" s="516">
        <v>755.02</v>
      </c>
      <c r="E98" s="517">
        <v>943.78</v>
      </c>
      <c r="F98" s="517">
        <v>962.66</v>
      </c>
      <c r="G98" s="518">
        <v>1085.3499999999999</v>
      </c>
      <c r="H98" s="518">
        <v>1302.4100000000001</v>
      </c>
      <c r="I98" s="519">
        <v>1354.61</v>
      </c>
      <c r="J98" s="520">
        <v>1953.61</v>
      </c>
      <c r="K98" s="521">
        <v>2442.02</v>
      </c>
      <c r="L98" s="522">
        <v>3174.62</v>
      </c>
      <c r="M98" s="523">
        <v>3251.05</v>
      </c>
      <c r="N98" s="522">
        <v>4920.67</v>
      </c>
      <c r="O98" s="524">
        <v>4920.67</v>
      </c>
      <c r="P98" s="525">
        <v>7922.28</v>
      </c>
      <c r="Q98" s="525">
        <v>7922.28</v>
      </c>
      <c r="R98" s="525">
        <v>2</v>
      </c>
      <c r="S98" s="525">
        <v>3</v>
      </c>
      <c r="T98" s="525">
        <v>4</v>
      </c>
      <c r="U98" s="525">
        <v>5</v>
      </c>
      <c r="V98" s="525">
        <v>6</v>
      </c>
      <c r="W98" s="525">
        <v>7</v>
      </c>
      <c r="X98" s="525">
        <v>8</v>
      </c>
      <c r="Y98" s="525">
        <v>9</v>
      </c>
      <c r="Z98" s="525">
        <v>10</v>
      </c>
      <c r="AA98" s="525">
        <v>11</v>
      </c>
      <c r="AB98" s="526">
        <f t="shared" si="31"/>
        <v>0</v>
      </c>
      <c r="AC98" s="527">
        <f t="shared" si="32"/>
        <v>0</v>
      </c>
      <c r="AD98" s="527">
        <f t="shared" si="33"/>
        <v>0</v>
      </c>
      <c r="AE98" s="528">
        <f t="shared" si="29"/>
        <v>0</v>
      </c>
      <c r="AF98" s="528">
        <f t="shared" si="34"/>
        <v>0</v>
      </c>
      <c r="AG98" s="528">
        <f t="shared" si="35"/>
        <v>0</v>
      </c>
      <c r="AH98" s="529">
        <f t="shared" si="36"/>
        <v>0</v>
      </c>
      <c r="AI98" s="530">
        <f t="shared" si="37"/>
        <v>0</v>
      </c>
      <c r="AJ98" s="530">
        <f t="shared" si="38"/>
        <v>0</v>
      </c>
      <c r="AK98" s="530">
        <f t="shared" si="39"/>
        <v>0</v>
      </c>
      <c r="AL98" s="530">
        <f t="shared" si="40"/>
        <v>0</v>
      </c>
      <c r="AM98" s="530">
        <f t="shared" si="41"/>
        <v>0</v>
      </c>
      <c r="AN98" s="531">
        <f t="shared" si="42"/>
        <v>0</v>
      </c>
      <c r="AO98" s="531">
        <f t="shared" si="43"/>
        <v>7922.28</v>
      </c>
      <c r="AP98" s="531">
        <f t="shared" si="44"/>
        <v>0</v>
      </c>
      <c r="AQ98" s="531">
        <f t="shared" si="45"/>
        <v>0</v>
      </c>
      <c r="AR98" s="531">
        <f t="shared" si="46"/>
        <v>0</v>
      </c>
      <c r="AS98" s="531">
        <f t="shared" si="47"/>
        <v>0</v>
      </c>
      <c r="AT98" s="531">
        <f t="shared" si="48"/>
        <v>0</v>
      </c>
      <c r="AU98" s="531">
        <f t="shared" si="49"/>
        <v>0</v>
      </c>
      <c r="AV98" s="531">
        <f t="shared" si="50"/>
        <v>0</v>
      </c>
      <c r="AW98" s="531">
        <f t="shared" si="51"/>
        <v>0</v>
      </c>
      <c r="AX98" s="531">
        <f t="shared" si="52"/>
        <v>0</v>
      </c>
      <c r="AY98" s="531">
        <f t="shared" si="53"/>
        <v>0</v>
      </c>
      <c r="AZ98" s="510">
        <f t="shared" si="54"/>
        <v>7922.28</v>
      </c>
      <c r="BA98" s="643"/>
    </row>
    <row r="99" spans="1:53" x14ac:dyDescent="0.2">
      <c r="A99" s="480">
        <v>99</v>
      </c>
      <c r="B99" s="637">
        <f t="shared" si="30"/>
        <v>92</v>
      </c>
      <c r="C99" s="672" t="s">
        <v>360</v>
      </c>
      <c r="D99" s="516">
        <v>675.06</v>
      </c>
      <c r="E99" s="517">
        <v>843.83</v>
      </c>
      <c r="F99" s="517">
        <v>860.71</v>
      </c>
      <c r="G99" s="518">
        <v>970.4</v>
      </c>
      <c r="H99" s="518">
        <v>1164.48</v>
      </c>
      <c r="I99" s="519">
        <v>1354.61</v>
      </c>
      <c r="J99" s="520">
        <v>1746.72</v>
      </c>
      <c r="K99" s="521">
        <v>2183.4</v>
      </c>
      <c r="L99" s="522">
        <v>2838.42</v>
      </c>
      <c r="M99" s="523">
        <v>3251.05</v>
      </c>
      <c r="N99" s="522">
        <v>4399.55</v>
      </c>
      <c r="O99" s="524">
        <v>4551.47</v>
      </c>
      <c r="P99" s="525">
        <v>7083.28</v>
      </c>
      <c r="Q99" s="525">
        <v>7083.28</v>
      </c>
      <c r="R99" s="525">
        <v>2</v>
      </c>
      <c r="S99" s="525">
        <v>3</v>
      </c>
      <c r="T99" s="525">
        <v>4</v>
      </c>
      <c r="U99" s="525">
        <v>5</v>
      </c>
      <c r="V99" s="525">
        <v>6</v>
      </c>
      <c r="W99" s="525">
        <v>7</v>
      </c>
      <c r="X99" s="525">
        <v>8</v>
      </c>
      <c r="Y99" s="525">
        <v>9</v>
      </c>
      <c r="Z99" s="525">
        <v>10</v>
      </c>
      <c r="AA99" s="525">
        <v>11</v>
      </c>
      <c r="AB99" s="526">
        <f t="shared" si="31"/>
        <v>0</v>
      </c>
      <c r="AC99" s="527">
        <f t="shared" si="32"/>
        <v>0</v>
      </c>
      <c r="AD99" s="527">
        <f t="shared" si="33"/>
        <v>0</v>
      </c>
      <c r="AE99" s="528">
        <f t="shared" si="29"/>
        <v>0</v>
      </c>
      <c r="AF99" s="528">
        <f t="shared" si="34"/>
        <v>0</v>
      </c>
      <c r="AG99" s="528">
        <f t="shared" si="35"/>
        <v>0</v>
      </c>
      <c r="AH99" s="529">
        <f t="shared" si="36"/>
        <v>0</v>
      </c>
      <c r="AI99" s="530">
        <f t="shared" si="37"/>
        <v>0</v>
      </c>
      <c r="AJ99" s="530">
        <f t="shared" si="38"/>
        <v>0</v>
      </c>
      <c r="AK99" s="530">
        <f t="shared" si="39"/>
        <v>0</v>
      </c>
      <c r="AL99" s="530">
        <f t="shared" si="40"/>
        <v>0</v>
      </c>
      <c r="AM99" s="530">
        <f t="shared" si="41"/>
        <v>0</v>
      </c>
      <c r="AN99" s="531">
        <f t="shared" si="42"/>
        <v>0</v>
      </c>
      <c r="AO99" s="531">
        <f t="shared" si="43"/>
        <v>7083.28</v>
      </c>
      <c r="AP99" s="531">
        <f t="shared" si="44"/>
        <v>0</v>
      </c>
      <c r="AQ99" s="531">
        <f t="shared" si="45"/>
        <v>0</v>
      </c>
      <c r="AR99" s="531">
        <f t="shared" si="46"/>
        <v>0</v>
      </c>
      <c r="AS99" s="531">
        <f t="shared" si="47"/>
        <v>0</v>
      </c>
      <c r="AT99" s="531">
        <f t="shared" si="48"/>
        <v>0</v>
      </c>
      <c r="AU99" s="531">
        <f t="shared" si="49"/>
        <v>0</v>
      </c>
      <c r="AV99" s="531">
        <f t="shared" si="50"/>
        <v>0</v>
      </c>
      <c r="AW99" s="531">
        <f t="shared" si="51"/>
        <v>0</v>
      </c>
      <c r="AX99" s="531">
        <f t="shared" si="52"/>
        <v>0</v>
      </c>
      <c r="AY99" s="531">
        <f t="shared" si="53"/>
        <v>0</v>
      </c>
      <c r="AZ99" s="510">
        <f t="shared" si="54"/>
        <v>7083.28</v>
      </c>
      <c r="BA99" s="643"/>
    </row>
    <row r="100" spans="1:53" x14ac:dyDescent="0.2">
      <c r="A100" s="480">
        <v>100</v>
      </c>
      <c r="B100" s="637">
        <f t="shared" si="30"/>
        <v>93</v>
      </c>
      <c r="C100" s="672" t="s">
        <v>361</v>
      </c>
      <c r="D100" s="516">
        <v>755.02</v>
      </c>
      <c r="E100" s="517">
        <v>943.78</v>
      </c>
      <c r="F100" s="517">
        <v>962.66</v>
      </c>
      <c r="G100" s="518">
        <v>1085.3499999999999</v>
      </c>
      <c r="H100" s="518">
        <v>1302.4100000000001</v>
      </c>
      <c r="I100" s="519">
        <v>1354.61</v>
      </c>
      <c r="J100" s="520">
        <v>1953.61</v>
      </c>
      <c r="K100" s="521">
        <v>2442.02</v>
      </c>
      <c r="L100" s="522">
        <v>3174.62</v>
      </c>
      <c r="M100" s="523">
        <v>3251.05</v>
      </c>
      <c r="N100" s="522">
        <v>4920.67</v>
      </c>
      <c r="O100" s="524">
        <v>4920.67</v>
      </c>
      <c r="P100" s="525">
        <v>7922.28</v>
      </c>
      <c r="Q100" s="525">
        <v>7922.28</v>
      </c>
      <c r="R100" s="525">
        <v>2</v>
      </c>
      <c r="S100" s="525">
        <v>3</v>
      </c>
      <c r="T100" s="525">
        <v>4</v>
      </c>
      <c r="U100" s="525">
        <v>5</v>
      </c>
      <c r="V100" s="525">
        <v>6</v>
      </c>
      <c r="W100" s="525">
        <v>7</v>
      </c>
      <c r="X100" s="525">
        <v>8</v>
      </c>
      <c r="Y100" s="525">
        <v>9</v>
      </c>
      <c r="Z100" s="525">
        <v>10</v>
      </c>
      <c r="AA100" s="525">
        <v>11</v>
      </c>
      <c r="AB100" s="526">
        <f t="shared" si="31"/>
        <v>0</v>
      </c>
      <c r="AC100" s="527">
        <f t="shared" si="32"/>
        <v>0</v>
      </c>
      <c r="AD100" s="527">
        <f t="shared" si="33"/>
        <v>0</v>
      </c>
      <c r="AE100" s="528">
        <f t="shared" si="29"/>
        <v>0</v>
      </c>
      <c r="AF100" s="528">
        <f t="shared" si="34"/>
        <v>0</v>
      </c>
      <c r="AG100" s="528">
        <f t="shared" si="35"/>
        <v>0</v>
      </c>
      <c r="AH100" s="529">
        <f t="shared" si="36"/>
        <v>0</v>
      </c>
      <c r="AI100" s="530">
        <f t="shared" si="37"/>
        <v>0</v>
      </c>
      <c r="AJ100" s="530">
        <f t="shared" si="38"/>
        <v>0</v>
      </c>
      <c r="AK100" s="530">
        <f t="shared" si="39"/>
        <v>0</v>
      </c>
      <c r="AL100" s="530">
        <f t="shared" si="40"/>
        <v>0</v>
      </c>
      <c r="AM100" s="530">
        <f t="shared" si="41"/>
        <v>0</v>
      </c>
      <c r="AN100" s="531">
        <f t="shared" si="42"/>
        <v>0</v>
      </c>
      <c r="AO100" s="531">
        <f t="shared" si="43"/>
        <v>7922.28</v>
      </c>
      <c r="AP100" s="531">
        <f t="shared" si="44"/>
        <v>0</v>
      </c>
      <c r="AQ100" s="531">
        <f t="shared" si="45"/>
        <v>0</v>
      </c>
      <c r="AR100" s="531">
        <f t="shared" si="46"/>
        <v>0</v>
      </c>
      <c r="AS100" s="531">
        <f t="shared" si="47"/>
        <v>0</v>
      </c>
      <c r="AT100" s="531">
        <f t="shared" si="48"/>
        <v>0</v>
      </c>
      <c r="AU100" s="531">
        <f t="shared" si="49"/>
        <v>0</v>
      </c>
      <c r="AV100" s="531">
        <f t="shared" si="50"/>
        <v>0</v>
      </c>
      <c r="AW100" s="531">
        <f t="shared" si="51"/>
        <v>0</v>
      </c>
      <c r="AX100" s="531">
        <f t="shared" si="52"/>
        <v>0</v>
      </c>
      <c r="AY100" s="531">
        <f t="shared" si="53"/>
        <v>0</v>
      </c>
      <c r="AZ100" s="510">
        <f t="shared" si="54"/>
        <v>7922.28</v>
      </c>
      <c r="BA100" s="643"/>
    </row>
    <row r="101" spans="1:53" x14ac:dyDescent="0.2">
      <c r="A101" s="480">
        <v>101</v>
      </c>
      <c r="B101" s="637">
        <f t="shared" si="30"/>
        <v>94</v>
      </c>
      <c r="C101" s="672" t="s">
        <v>362</v>
      </c>
      <c r="D101" s="516">
        <v>675.06</v>
      </c>
      <c r="E101" s="517">
        <v>843.83</v>
      </c>
      <c r="F101" s="517">
        <v>860.71</v>
      </c>
      <c r="G101" s="518">
        <v>970.4</v>
      </c>
      <c r="H101" s="518">
        <v>1164.48</v>
      </c>
      <c r="I101" s="519">
        <v>1354.61</v>
      </c>
      <c r="J101" s="520">
        <v>1746.72</v>
      </c>
      <c r="K101" s="521">
        <v>2183.4</v>
      </c>
      <c r="L101" s="522">
        <v>2838.42</v>
      </c>
      <c r="M101" s="523">
        <v>3251.05</v>
      </c>
      <c r="N101" s="522">
        <v>4399.55</v>
      </c>
      <c r="O101" s="524">
        <v>4551.47</v>
      </c>
      <c r="P101" s="525">
        <v>7083.28</v>
      </c>
      <c r="Q101" s="525">
        <v>7083.28</v>
      </c>
      <c r="R101" s="525">
        <v>2</v>
      </c>
      <c r="S101" s="525">
        <v>3</v>
      </c>
      <c r="T101" s="525">
        <v>4</v>
      </c>
      <c r="U101" s="525">
        <v>5</v>
      </c>
      <c r="V101" s="525">
        <v>6</v>
      </c>
      <c r="W101" s="525">
        <v>7</v>
      </c>
      <c r="X101" s="525">
        <v>8</v>
      </c>
      <c r="Y101" s="525">
        <v>9</v>
      </c>
      <c r="Z101" s="525">
        <v>10</v>
      </c>
      <c r="AA101" s="525">
        <v>11</v>
      </c>
      <c r="AB101" s="526">
        <f t="shared" si="31"/>
        <v>0</v>
      </c>
      <c r="AC101" s="527">
        <f t="shared" si="32"/>
        <v>0</v>
      </c>
      <c r="AD101" s="527">
        <f t="shared" si="33"/>
        <v>0</v>
      </c>
      <c r="AE101" s="528">
        <f t="shared" si="29"/>
        <v>0</v>
      </c>
      <c r="AF101" s="528">
        <f t="shared" si="34"/>
        <v>0</v>
      </c>
      <c r="AG101" s="528">
        <f t="shared" si="35"/>
        <v>0</v>
      </c>
      <c r="AH101" s="529">
        <f t="shared" si="36"/>
        <v>0</v>
      </c>
      <c r="AI101" s="530">
        <f t="shared" si="37"/>
        <v>0</v>
      </c>
      <c r="AJ101" s="530">
        <f t="shared" si="38"/>
        <v>0</v>
      </c>
      <c r="AK101" s="530">
        <f t="shared" si="39"/>
        <v>0</v>
      </c>
      <c r="AL101" s="530">
        <f t="shared" si="40"/>
        <v>0</v>
      </c>
      <c r="AM101" s="530">
        <f t="shared" si="41"/>
        <v>0</v>
      </c>
      <c r="AN101" s="531">
        <f t="shared" si="42"/>
        <v>0</v>
      </c>
      <c r="AO101" s="531">
        <f t="shared" si="43"/>
        <v>7083.28</v>
      </c>
      <c r="AP101" s="531">
        <f t="shared" si="44"/>
        <v>0</v>
      </c>
      <c r="AQ101" s="531">
        <f t="shared" si="45"/>
        <v>0</v>
      </c>
      <c r="AR101" s="531">
        <f t="shared" si="46"/>
        <v>0</v>
      </c>
      <c r="AS101" s="531">
        <f t="shared" si="47"/>
        <v>0</v>
      </c>
      <c r="AT101" s="531">
        <f t="shared" si="48"/>
        <v>0</v>
      </c>
      <c r="AU101" s="531">
        <f t="shared" si="49"/>
        <v>0</v>
      </c>
      <c r="AV101" s="531">
        <f t="shared" si="50"/>
        <v>0</v>
      </c>
      <c r="AW101" s="531">
        <f t="shared" si="51"/>
        <v>0</v>
      </c>
      <c r="AX101" s="531">
        <f t="shared" si="52"/>
        <v>0</v>
      </c>
      <c r="AY101" s="531">
        <f t="shared" si="53"/>
        <v>0</v>
      </c>
      <c r="AZ101" s="510">
        <f t="shared" si="54"/>
        <v>7083.28</v>
      </c>
      <c r="BA101" s="643"/>
    </row>
    <row r="102" spans="1:53" x14ac:dyDescent="0.2">
      <c r="A102" s="480">
        <v>102</v>
      </c>
      <c r="B102" s="637">
        <f t="shared" si="30"/>
        <v>95</v>
      </c>
      <c r="C102" s="672" t="s">
        <v>363</v>
      </c>
      <c r="D102" s="516">
        <v>963.14</v>
      </c>
      <c r="E102" s="517">
        <v>1203.93</v>
      </c>
      <c r="F102" s="517">
        <v>1228.01</v>
      </c>
      <c r="G102" s="518">
        <v>1384.52</v>
      </c>
      <c r="H102" s="518">
        <v>1661.42</v>
      </c>
      <c r="I102" s="532">
        <v>1661.42</v>
      </c>
      <c r="J102" s="520">
        <v>2492.12</v>
      </c>
      <c r="K102" s="521">
        <v>3115.16</v>
      </c>
      <c r="L102" s="522">
        <v>4049.7</v>
      </c>
      <c r="M102" s="523">
        <v>4049.7</v>
      </c>
      <c r="N102" s="522">
        <v>6277.04</v>
      </c>
      <c r="O102" s="524">
        <v>6277.04</v>
      </c>
      <c r="P102" s="525">
        <v>10106.049999999999</v>
      </c>
      <c r="Q102" s="525">
        <v>10106.049999999999</v>
      </c>
      <c r="R102" s="525">
        <v>2</v>
      </c>
      <c r="S102" s="525">
        <v>3</v>
      </c>
      <c r="T102" s="525">
        <v>4</v>
      </c>
      <c r="U102" s="525">
        <v>5</v>
      </c>
      <c r="V102" s="525">
        <v>6</v>
      </c>
      <c r="W102" s="525">
        <v>7</v>
      </c>
      <c r="X102" s="525">
        <v>8</v>
      </c>
      <c r="Y102" s="525">
        <v>9</v>
      </c>
      <c r="Z102" s="525">
        <v>10</v>
      </c>
      <c r="AA102" s="525">
        <v>11</v>
      </c>
      <c r="AB102" s="526">
        <f t="shared" si="31"/>
        <v>0</v>
      </c>
      <c r="AC102" s="527">
        <f t="shared" si="32"/>
        <v>0</v>
      </c>
      <c r="AD102" s="527">
        <f t="shared" si="33"/>
        <v>0</v>
      </c>
      <c r="AE102" s="528">
        <f t="shared" si="29"/>
        <v>0</v>
      </c>
      <c r="AF102" s="528">
        <f t="shared" si="34"/>
        <v>0</v>
      </c>
      <c r="AG102" s="528">
        <f t="shared" si="35"/>
        <v>0</v>
      </c>
      <c r="AH102" s="529">
        <f t="shared" si="36"/>
        <v>0</v>
      </c>
      <c r="AI102" s="530">
        <f t="shared" si="37"/>
        <v>0</v>
      </c>
      <c r="AJ102" s="530">
        <f t="shared" si="38"/>
        <v>0</v>
      </c>
      <c r="AK102" s="530">
        <f t="shared" si="39"/>
        <v>0</v>
      </c>
      <c r="AL102" s="530">
        <f t="shared" si="40"/>
        <v>0</v>
      </c>
      <c r="AM102" s="530">
        <f t="shared" si="41"/>
        <v>0</v>
      </c>
      <c r="AN102" s="531">
        <f t="shared" si="42"/>
        <v>0</v>
      </c>
      <c r="AO102" s="531">
        <f t="shared" si="43"/>
        <v>10106.049999999999</v>
      </c>
      <c r="AP102" s="531">
        <f t="shared" si="44"/>
        <v>0</v>
      </c>
      <c r="AQ102" s="531">
        <f t="shared" si="45"/>
        <v>0</v>
      </c>
      <c r="AR102" s="531">
        <f t="shared" si="46"/>
        <v>0</v>
      </c>
      <c r="AS102" s="531">
        <f t="shared" si="47"/>
        <v>0</v>
      </c>
      <c r="AT102" s="531">
        <f t="shared" si="48"/>
        <v>0</v>
      </c>
      <c r="AU102" s="531">
        <f t="shared" si="49"/>
        <v>0</v>
      </c>
      <c r="AV102" s="531">
        <f t="shared" si="50"/>
        <v>0</v>
      </c>
      <c r="AW102" s="531">
        <f t="shared" si="51"/>
        <v>0</v>
      </c>
      <c r="AX102" s="531">
        <f t="shared" si="52"/>
        <v>0</v>
      </c>
      <c r="AY102" s="531">
        <f t="shared" si="53"/>
        <v>0</v>
      </c>
      <c r="AZ102" s="510">
        <f t="shared" si="54"/>
        <v>10106.049999999999</v>
      </c>
      <c r="BA102" s="643"/>
    </row>
    <row r="103" spans="1:53" x14ac:dyDescent="0.2">
      <c r="A103" s="480">
        <v>103</v>
      </c>
      <c r="B103" s="637">
        <f t="shared" si="30"/>
        <v>96</v>
      </c>
      <c r="C103" s="672" t="s">
        <v>364</v>
      </c>
      <c r="D103" s="516">
        <v>610.14</v>
      </c>
      <c r="E103" s="517">
        <v>762.68</v>
      </c>
      <c r="F103" s="517">
        <v>777.93</v>
      </c>
      <c r="G103" s="518">
        <v>877.08</v>
      </c>
      <c r="H103" s="518">
        <v>1052.49</v>
      </c>
      <c r="I103" s="519">
        <v>1354.61</v>
      </c>
      <c r="J103" s="520">
        <v>1578.74</v>
      </c>
      <c r="K103" s="521">
        <v>2167.37</v>
      </c>
      <c r="L103" s="522">
        <v>2565.4499999999998</v>
      </c>
      <c r="M103" s="523">
        <v>3251.05</v>
      </c>
      <c r="N103" s="522">
        <v>3976.44</v>
      </c>
      <c r="O103" s="524">
        <v>4551.47</v>
      </c>
      <c r="P103" s="525">
        <v>6402.07</v>
      </c>
      <c r="Q103" s="525">
        <v>6402.07</v>
      </c>
      <c r="R103" s="525">
        <v>2</v>
      </c>
      <c r="S103" s="525">
        <v>3</v>
      </c>
      <c r="T103" s="525">
        <v>4</v>
      </c>
      <c r="U103" s="525">
        <v>5</v>
      </c>
      <c r="V103" s="525">
        <v>6</v>
      </c>
      <c r="W103" s="525">
        <v>7</v>
      </c>
      <c r="X103" s="525">
        <v>8</v>
      </c>
      <c r="Y103" s="525">
        <v>9</v>
      </c>
      <c r="Z103" s="525">
        <v>10</v>
      </c>
      <c r="AA103" s="525">
        <v>11</v>
      </c>
      <c r="AB103" s="526">
        <f t="shared" si="31"/>
        <v>0</v>
      </c>
      <c r="AC103" s="527">
        <f t="shared" si="32"/>
        <v>0</v>
      </c>
      <c r="AD103" s="527">
        <f t="shared" si="33"/>
        <v>0</v>
      </c>
      <c r="AE103" s="528">
        <f t="shared" si="29"/>
        <v>0</v>
      </c>
      <c r="AF103" s="528">
        <f t="shared" si="34"/>
        <v>0</v>
      </c>
      <c r="AG103" s="528">
        <f t="shared" si="35"/>
        <v>0</v>
      </c>
      <c r="AH103" s="529">
        <f t="shared" si="36"/>
        <v>0</v>
      </c>
      <c r="AI103" s="530">
        <f t="shared" si="37"/>
        <v>0</v>
      </c>
      <c r="AJ103" s="530">
        <f t="shared" si="38"/>
        <v>0</v>
      </c>
      <c r="AK103" s="530">
        <f t="shared" si="39"/>
        <v>0</v>
      </c>
      <c r="AL103" s="530">
        <f t="shared" si="40"/>
        <v>0</v>
      </c>
      <c r="AM103" s="530">
        <f t="shared" si="41"/>
        <v>0</v>
      </c>
      <c r="AN103" s="531">
        <f t="shared" si="42"/>
        <v>0</v>
      </c>
      <c r="AO103" s="531">
        <f t="shared" si="43"/>
        <v>6402.07</v>
      </c>
      <c r="AP103" s="531">
        <f t="shared" si="44"/>
        <v>0</v>
      </c>
      <c r="AQ103" s="531">
        <f t="shared" si="45"/>
        <v>0</v>
      </c>
      <c r="AR103" s="531">
        <f t="shared" si="46"/>
        <v>0</v>
      </c>
      <c r="AS103" s="531">
        <f t="shared" si="47"/>
        <v>0</v>
      </c>
      <c r="AT103" s="531">
        <f t="shared" si="48"/>
        <v>0</v>
      </c>
      <c r="AU103" s="531">
        <f t="shared" si="49"/>
        <v>0</v>
      </c>
      <c r="AV103" s="531">
        <f t="shared" si="50"/>
        <v>0</v>
      </c>
      <c r="AW103" s="531">
        <f t="shared" si="51"/>
        <v>0</v>
      </c>
      <c r="AX103" s="531">
        <f t="shared" si="52"/>
        <v>0</v>
      </c>
      <c r="AY103" s="531">
        <f t="shared" si="53"/>
        <v>0</v>
      </c>
      <c r="AZ103" s="510">
        <f t="shared" si="54"/>
        <v>6402.07</v>
      </c>
      <c r="BA103" s="643"/>
    </row>
    <row r="104" spans="1:53" x14ac:dyDescent="0.2">
      <c r="A104" s="480">
        <v>104</v>
      </c>
      <c r="B104" s="637">
        <f t="shared" si="30"/>
        <v>97</v>
      </c>
      <c r="C104" s="672" t="s">
        <v>365</v>
      </c>
      <c r="D104" s="516">
        <v>755.02</v>
      </c>
      <c r="E104" s="517">
        <v>943.78</v>
      </c>
      <c r="F104" s="517">
        <v>962.66</v>
      </c>
      <c r="G104" s="518">
        <v>1085.3499999999999</v>
      </c>
      <c r="H104" s="518">
        <v>1302.4100000000001</v>
      </c>
      <c r="I104" s="519">
        <v>1354.61</v>
      </c>
      <c r="J104" s="520">
        <v>1953.61</v>
      </c>
      <c r="K104" s="521">
        <v>2442.02</v>
      </c>
      <c r="L104" s="522">
        <v>3174.62</v>
      </c>
      <c r="M104" s="523">
        <v>3251.05</v>
      </c>
      <c r="N104" s="522">
        <v>4920.67</v>
      </c>
      <c r="O104" s="524">
        <v>4920.67</v>
      </c>
      <c r="P104" s="525">
        <v>7922.28</v>
      </c>
      <c r="Q104" s="525">
        <v>7922.28</v>
      </c>
      <c r="R104" s="525">
        <v>2</v>
      </c>
      <c r="S104" s="525">
        <v>3</v>
      </c>
      <c r="T104" s="525">
        <v>4</v>
      </c>
      <c r="U104" s="525">
        <v>5</v>
      </c>
      <c r="V104" s="525">
        <v>6</v>
      </c>
      <c r="W104" s="525">
        <v>7</v>
      </c>
      <c r="X104" s="525">
        <v>8</v>
      </c>
      <c r="Y104" s="525">
        <v>9</v>
      </c>
      <c r="Z104" s="525">
        <v>10</v>
      </c>
      <c r="AA104" s="525">
        <v>11</v>
      </c>
      <c r="AB104" s="526">
        <f t="shared" si="31"/>
        <v>0</v>
      </c>
      <c r="AC104" s="527">
        <f t="shared" si="32"/>
        <v>0</v>
      </c>
      <c r="AD104" s="527">
        <f t="shared" si="33"/>
        <v>0</v>
      </c>
      <c r="AE104" s="528">
        <f t="shared" si="29"/>
        <v>0</v>
      </c>
      <c r="AF104" s="528">
        <f t="shared" si="34"/>
        <v>0</v>
      </c>
      <c r="AG104" s="528">
        <f t="shared" si="35"/>
        <v>0</v>
      </c>
      <c r="AH104" s="529">
        <f t="shared" si="36"/>
        <v>0</v>
      </c>
      <c r="AI104" s="530">
        <f t="shared" si="37"/>
        <v>0</v>
      </c>
      <c r="AJ104" s="530">
        <f t="shared" si="38"/>
        <v>0</v>
      </c>
      <c r="AK104" s="530">
        <f t="shared" si="39"/>
        <v>0</v>
      </c>
      <c r="AL104" s="530">
        <f t="shared" si="40"/>
        <v>0</v>
      </c>
      <c r="AM104" s="530">
        <f t="shared" si="41"/>
        <v>0</v>
      </c>
      <c r="AN104" s="531">
        <f t="shared" si="42"/>
        <v>0</v>
      </c>
      <c r="AO104" s="531">
        <f t="shared" si="43"/>
        <v>7922.28</v>
      </c>
      <c r="AP104" s="531">
        <f t="shared" si="44"/>
        <v>0</v>
      </c>
      <c r="AQ104" s="531">
        <f t="shared" si="45"/>
        <v>0</v>
      </c>
      <c r="AR104" s="531">
        <f t="shared" si="46"/>
        <v>0</v>
      </c>
      <c r="AS104" s="531">
        <f t="shared" si="47"/>
        <v>0</v>
      </c>
      <c r="AT104" s="531">
        <f t="shared" si="48"/>
        <v>0</v>
      </c>
      <c r="AU104" s="531">
        <f t="shared" si="49"/>
        <v>0</v>
      </c>
      <c r="AV104" s="531">
        <f t="shared" si="50"/>
        <v>0</v>
      </c>
      <c r="AW104" s="531">
        <f t="shared" si="51"/>
        <v>0</v>
      </c>
      <c r="AX104" s="531">
        <f t="shared" si="52"/>
        <v>0</v>
      </c>
      <c r="AY104" s="531">
        <f t="shared" si="53"/>
        <v>0</v>
      </c>
      <c r="AZ104" s="510">
        <f t="shared" si="54"/>
        <v>7922.28</v>
      </c>
      <c r="BA104" s="643"/>
    </row>
    <row r="105" spans="1:53" x14ac:dyDescent="0.2">
      <c r="A105" s="480">
        <v>105</v>
      </c>
      <c r="B105" s="637">
        <f t="shared" si="30"/>
        <v>98</v>
      </c>
      <c r="C105" s="672" t="s">
        <v>366</v>
      </c>
      <c r="D105" s="516">
        <v>675.06</v>
      </c>
      <c r="E105" s="517">
        <v>843.83</v>
      </c>
      <c r="F105" s="517">
        <v>860.71</v>
      </c>
      <c r="G105" s="518">
        <v>970.4</v>
      </c>
      <c r="H105" s="518">
        <v>1164.48</v>
      </c>
      <c r="I105" s="519">
        <v>1354.61</v>
      </c>
      <c r="J105" s="520">
        <v>1746.72</v>
      </c>
      <c r="K105" s="521">
        <v>2183.4</v>
      </c>
      <c r="L105" s="522">
        <v>2838.42</v>
      </c>
      <c r="M105" s="523">
        <v>3251.05</v>
      </c>
      <c r="N105" s="522">
        <v>4399.55</v>
      </c>
      <c r="O105" s="524">
        <v>4551.47</v>
      </c>
      <c r="P105" s="525">
        <v>7083.28</v>
      </c>
      <c r="Q105" s="525">
        <v>7083.28</v>
      </c>
      <c r="R105" s="525">
        <v>2</v>
      </c>
      <c r="S105" s="525">
        <v>3</v>
      </c>
      <c r="T105" s="525">
        <v>4</v>
      </c>
      <c r="U105" s="525">
        <v>5</v>
      </c>
      <c r="V105" s="525">
        <v>6</v>
      </c>
      <c r="W105" s="525">
        <v>7</v>
      </c>
      <c r="X105" s="525">
        <v>8</v>
      </c>
      <c r="Y105" s="525">
        <v>9</v>
      </c>
      <c r="Z105" s="525">
        <v>10</v>
      </c>
      <c r="AA105" s="525">
        <v>11</v>
      </c>
      <c r="AB105" s="526">
        <f t="shared" si="31"/>
        <v>0</v>
      </c>
      <c r="AC105" s="527">
        <f t="shared" si="32"/>
        <v>0</v>
      </c>
      <c r="AD105" s="527">
        <f t="shared" si="33"/>
        <v>0</v>
      </c>
      <c r="AE105" s="528">
        <f t="shared" ref="AE105:AE110" si="55">(G105*$AE$5)</f>
        <v>0</v>
      </c>
      <c r="AF105" s="528">
        <f t="shared" si="34"/>
        <v>0</v>
      </c>
      <c r="AG105" s="528">
        <f t="shared" si="35"/>
        <v>0</v>
      </c>
      <c r="AH105" s="529">
        <f t="shared" si="36"/>
        <v>0</v>
      </c>
      <c r="AI105" s="530">
        <f t="shared" si="37"/>
        <v>0</v>
      </c>
      <c r="AJ105" s="530">
        <f t="shared" si="38"/>
        <v>0</v>
      </c>
      <c r="AK105" s="530">
        <f t="shared" si="39"/>
        <v>0</v>
      </c>
      <c r="AL105" s="530">
        <f t="shared" si="40"/>
        <v>0</v>
      </c>
      <c r="AM105" s="530">
        <f t="shared" si="41"/>
        <v>0</v>
      </c>
      <c r="AN105" s="531">
        <f t="shared" si="42"/>
        <v>0</v>
      </c>
      <c r="AO105" s="531">
        <f t="shared" si="43"/>
        <v>7083.28</v>
      </c>
      <c r="AP105" s="531">
        <f t="shared" si="44"/>
        <v>0</v>
      </c>
      <c r="AQ105" s="531">
        <f t="shared" si="45"/>
        <v>0</v>
      </c>
      <c r="AR105" s="531">
        <f t="shared" si="46"/>
        <v>0</v>
      </c>
      <c r="AS105" s="531">
        <f t="shared" si="47"/>
        <v>0</v>
      </c>
      <c r="AT105" s="531">
        <f t="shared" si="48"/>
        <v>0</v>
      </c>
      <c r="AU105" s="531">
        <f t="shared" si="49"/>
        <v>0</v>
      </c>
      <c r="AV105" s="531">
        <f t="shared" si="50"/>
        <v>0</v>
      </c>
      <c r="AW105" s="531">
        <f t="shared" si="51"/>
        <v>0</v>
      </c>
      <c r="AX105" s="531">
        <f t="shared" si="52"/>
        <v>0</v>
      </c>
      <c r="AY105" s="531">
        <f t="shared" si="53"/>
        <v>0</v>
      </c>
      <c r="AZ105" s="510">
        <f t="shared" si="54"/>
        <v>7083.28</v>
      </c>
      <c r="BA105" s="643"/>
    </row>
    <row r="106" spans="1:53" x14ac:dyDescent="0.2">
      <c r="A106" s="480">
        <v>106</v>
      </c>
      <c r="B106" s="637">
        <f t="shared" si="30"/>
        <v>99</v>
      </c>
      <c r="C106" s="672" t="s">
        <v>367</v>
      </c>
      <c r="D106" s="516">
        <v>666.56</v>
      </c>
      <c r="E106" s="517">
        <v>833.2</v>
      </c>
      <c r="F106" s="517">
        <v>849.86</v>
      </c>
      <c r="G106" s="518">
        <v>958.18</v>
      </c>
      <c r="H106" s="518">
        <v>1149.82</v>
      </c>
      <c r="I106" s="519">
        <v>1354.61</v>
      </c>
      <c r="J106" s="520">
        <v>1724.72</v>
      </c>
      <c r="K106" s="521">
        <v>2167.37</v>
      </c>
      <c r="L106" s="522">
        <v>2802.68</v>
      </c>
      <c r="M106" s="523">
        <v>3251.05</v>
      </c>
      <c r="N106" s="522">
        <v>4344.1499999999996</v>
      </c>
      <c r="O106" s="524">
        <v>4551.47</v>
      </c>
      <c r="P106" s="525">
        <v>6994.1</v>
      </c>
      <c r="Q106" s="525">
        <v>6994.1</v>
      </c>
      <c r="R106" s="525">
        <v>2</v>
      </c>
      <c r="S106" s="525">
        <v>3</v>
      </c>
      <c r="T106" s="525">
        <v>4</v>
      </c>
      <c r="U106" s="525">
        <v>5</v>
      </c>
      <c r="V106" s="525">
        <v>6</v>
      </c>
      <c r="W106" s="525">
        <v>7</v>
      </c>
      <c r="X106" s="525">
        <v>8</v>
      </c>
      <c r="Y106" s="525">
        <v>9</v>
      </c>
      <c r="Z106" s="525">
        <v>10</v>
      </c>
      <c r="AA106" s="525">
        <v>11</v>
      </c>
      <c r="AB106" s="526">
        <f t="shared" si="31"/>
        <v>0</v>
      </c>
      <c r="AC106" s="527">
        <f t="shared" si="32"/>
        <v>0</v>
      </c>
      <c r="AD106" s="527">
        <f t="shared" si="33"/>
        <v>0</v>
      </c>
      <c r="AE106" s="528">
        <f t="shared" si="55"/>
        <v>0</v>
      </c>
      <c r="AF106" s="528">
        <f t="shared" si="34"/>
        <v>0</v>
      </c>
      <c r="AG106" s="528">
        <f t="shared" si="35"/>
        <v>0</v>
      </c>
      <c r="AH106" s="529">
        <f t="shared" si="36"/>
        <v>0</v>
      </c>
      <c r="AI106" s="530">
        <f t="shared" si="37"/>
        <v>0</v>
      </c>
      <c r="AJ106" s="530">
        <f t="shared" si="38"/>
        <v>0</v>
      </c>
      <c r="AK106" s="530">
        <f t="shared" si="39"/>
        <v>0</v>
      </c>
      <c r="AL106" s="530">
        <f t="shared" si="40"/>
        <v>0</v>
      </c>
      <c r="AM106" s="530">
        <f t="shared" si="41"/>
        <v>0</v>
      </c>
      <c r="AN106" s="531">
        <f t="shared" si="42"/>
        <v>0</v>
      </c>
      <c r="AO106" s="531">
        <f t="shared" si="43"/>
        <v>6994.1</v>
      </c>
      <c r="AP106" s="531">
        <f t="shared" si="44"/>
        <v>0</v>
      </c>
      <c r="AQ106" s="531">
        <f t="shared" si="45"/>
        <v>0</v>
      </c>
      <c r="AR106" s="531">
        <f t="shared" si="46"/>
        <v>0</v>
      </c>
      <c r="AS106" s="531">
        <f t="shared" si="47"/>
        <v>0</v>
      </c>
      <c r="AT106" s="531">
        <f t="shared" si="48"/>
        <v>0</v>
      </c>
      <c r="AU106" s="531">
        <f t="shared" si="49"/>
        <v>0</v>
      </c>
      <c r="AV106" s="531">
        <f t="shared" si="50"/>
        <v>0</v>
      </c>
      <c r="AW106" s="531">
        <f t="shared" si="51"/>
        <v>0</v>
      </c>
      <c r="AX106" s="531">
        <f t="shared" si="52"/>
        <v>0</v>
      </c>
      <c r="AY106" s="531">
        <f t="shared" si="53"/>
        <v>0</v>
      </c>
      <c r="AZ106" s="510">
        <f t="shared" si="54"/>
        <v>6994.1</v>
      </c>
      <c r="BA106" s="643"/>
    </row>
    <row r="107" spans="1:53" x14ac:dyDescent="0.2">
      <c r="A107" s="480">
        <v>107</v>
      </c>
      <c r="B107" s="637">
        <f t="shared" si="30"/>
        <v>100</v>
      </c>
      <c r="C107" s="675" t="s">
        <v>368</v>
      </c>
      <c r="D107" s="533">
        <v>963.14</v>
      </c>
      <c r="E107" s="517">
        <v>1203.93</v>
      </c>
      <c r="F107" s="517">
        <v>1228.01</v>
      </c>
      <c r="G107" s="518">
        <v>1384.52</v>
      </c>
      <c r="H107" s="518">
        <v>1661.42</v>
      </c>
      <c r="I107" s="532">
        <v>1661.42</v>
      </c>
      <c r="J107" s="520">
        <v>2492.12</v>
      </c>
      <c r="K107" s="521">
        <v>3115.16</v>
      </c>
      <c r="L107" s="522">
        <v>4049.7</v>
      </c>
      <c r="M107" s="523">
        <v>4049.7</v>
      </c>
      <c r="N107" s="522">
        <v>6277.04</v>
      </c>
      <c r="O107" s="524">
        <v>6277.04</v>
      </c>
      <c r="P107" s="525">
        <v>10106.049999999999</v>
      </c>
      <c r="Q107" s="525">
        <v>10106.049999999999</v>
      </c>
      <c r="R107" s="525">
        <v>2</v>
      </c>
      <c r="S107" s="525">
        <v>3</v>
      </c>
      <c r="T107" s="525">
        <v>4</v>
      </c>
      <c r="U107" s="525">
        <v>5</v>
      </c>
      <c r="V107" s="525">
        <v>6</v>
      </c>
      <c r="W107" s="525">
        <v>7</v>
      </c>
      <c r="X107" s="525">
        <v>8</v>
      </c>
      <c r="Y107" s="525">
        <v>9</v>
      </c>
      <c r="Z107" s="525">
        <v>10</v>
      </c>
      <c r="AA107" s="525">
        <v>11</v>
      </c>
      <c r="AB107" s="526">
        <f t="shared" si="31"/>
        <v>0</v>
      </c>
      <c r="AC107" s="527">
        <f t="shared" si="32"/>
        <v>0</v>
      </c>
      <c r="AD107" s="527">
        <f t="shared" si="33"/>
        <v>0</v>
      </c>
      <c r="AE107" s="528">
        <f t="shared" si="55"/>
        <v>0</v>
      </c>
      <c r="AF107" s="528">
        <f t="shared" si="34"/>
        <v>0</v>
      </c>
      <c r="AG107" s="528">
        <f t="shared" si="35"/>
        <v>0</v>
      </c>
      <c r="AH107" s="529">
        <f t="shared" si="36"/>
        <v>0</v>
      </c>
      <c r="AI107" s="530">
        <f t="shared" si="37"/>
        <v>0</v>
      </c>
      <c r="AJ107" s="530">
        <f t="shared" si="38"/>
        <v>0</v>
      </c>
      <c r="AK107" s="530">
        <f t="shared" si="39"/>
        <v>0</v>
      </c>
      <c r="AL107" s="530">
        <f t="shared" si="40"/>
        <v>0</v>
      </c>
      <c r="AM107" s="530">
        <f t="shared" si="41"/>
        <v>0</v>
      </c>
      <c r="AN107" s="531">
        <f t="shared" si="42"/>
        <v>0</v>
      </c>
      <c r="AO107" s="531">
        <f t="shared" si="43"/>
        <v>10106.049999999999</v>
      </c>
      <c r="AP107" s="531">
        <f t="shared" si="44"/>
        <v>0</v>
      </c>
      <c r="AQ107" s="531">
        <f t="shared" si="45"/>
        <v>0</v>
      </c>
      <c r="AR107" s="531">
        <f t="shared" si="46"/>
        <v>0</v>
      </c>
      <c r="AS107" s="531">
        <f t="shared" si="47"/>
        <v>0</v>
      </c>
      <c r="AT107" s="531">
        <f t="shared" si="48"/>
        <v>0</v>
      </c>
      <c r="AU107" s="531">
        <f t="shared" si="49"/>
        <v>0</v>
      </c>
      <c r="AV107" s="531">
        <f t="shared" si="50"/>
        <v>0</v>
      </c>
      <c r="AW107" s="531">
        <f t="shared" si="51"/>
        <v>0</v>
      </c>
      <c r="AX107" s="531">
        <f t="shared" si="52"/>
        <v>0</v>
      </c>
      <c r="AY107" s="531">
        <f t="shared" si="53"/>
        <v>0</v>
      </c>
      <c r="AZ107" s="510">
        <f t="shared" si="54"/>
        <v>10106.049999999999</v>
      </c>
      <c r="BA107" s="643">
        <v>1</v>
      </c>
    </row>
    <row r="108" spans="1:53" x14ac:dyDescent="0.2">
      <c r="A108" s="480">
        <v>108</v>
      </c>
      <c r="B108" s="637">
        <f t="shared" si="30"/>
        <v>101</v>
      </c>
      <c r="C108" s="675" t="s">
        <v>369</v>
      </c>
      <c r="D108" s="516">
        <v>755.02</v>
      </c>
      <c r="E108" s="517">
        <v>943.78</v>
      </c>
      <c r="F108" s="517">
        <v>962.66</v>
      </c>
      <c r="G108" s="518">
        <v>1085.3499999999999</v>
      </c>
      <c r="H108" s="518">
        <v>1302.4100000000001</v>
      </c>
      <c r="I108" s="519">
        <v>1354.61</v>
      </c>
      <c r="J108" s="520">
        <v>1953.61</v>
      </c>
      <c r="K108" s="521">
        <v>2442.02</v>
      </c>
      <c r="L108" s="522">
        <v>3174.62</v>
      </c>
      <c r="M108" s="523">
        <v>3251.05</v>
      </c>
      <c r="N108" s="522">
        <v>4920.67</v>
      </c>
      <c r="O108" s="524">
        <v>4920.67</v>
      </c>
      <c r="P108" s="525">
        <v>7922.28</v>
      </c>
      <c r="Q108" s="525">
        <v>7922.28</v>
      </c>
      <c r="R108" s="525">
        <v>2</v>
      </c>
      <c r="S108" s="525">
        <v>3</v>
      </c>
      <c r="T108" s="525">
        <v>4</v>
      </c>
      <c r="U108" s="525">
        <v>5</v>
      </c>
      <c r="V108" s="525">
        <v>6</v>
      </c>
      <c r="W108" s="525">
        <v>7</v>
      </c>
      <c r="X108" s="525">
        <v>8</v>
      </c>
      <c r="Y108" s="525">
        <v>9</v>
      </c>
      <c r="Z108" s="525">
        <v>10</v>
      </c>
      <c r="AA108" s="525">
        <v>11</v>
      </c>
      <c r="AB108" s="526">
        <f t="shared" si="31"/>
        <v>0</v>
      </c>
      <c r="AC108" s="527">
        <f t="shared" si="32"/>
        <v>0</v>
      </c>
      <c r="AD108" s="527">
        <f t="shared" si="33"/>
        <v>0</v>
      </c>
      <c r="AE108" s="528">
        <f t="shared" si="55"/>
        <v>0</v>
      </c>
      <c r="AF108" s="528">
        <f t="shared" si="34"/>
        <v>0</v>
      </c>
      <c r="AG108" s="528">
        <f t="shared" si="35"/>
        <v>0</v>
      </c>
      <c r="AH108" s="529">
        <f t="shared" si="36"/>
        <v>0</v>
      </c>
      <c r="AI108" s="530">
        <f t="shared" si="37"/>
        <v>0</v>
      </c>
      <c r="AJ108" s="530">
        <f t="shared" si="38"/>
        <v>0</v>
      </c>
      <c r="AK108" s="530">
        <f t="shared" si="39"/>
        <v>0</v>
      </c>
      <c r="AL108" s="530">
        <f t="shared" si="40"/>
        <v>0</v>
      </c>
      <c r="AM108" s="530">
        <f t="shared" si="41"/>
        <v>0</v>
      </c>
      <c r="AN108" s="531">
        <f t="shared" si="42"/>
        <v>0</v>
      </c>
      <c r="AO108" s="531">
        <f t="shared" si="43"/>
        <v>7922.28</v>
      </c>
      <c r="AP108" s="531">
        <f t="shared" si="44"/>
        <v>0</v>
      </c>
      <c r="AQ108" s="531">
        <f t="shared" si="45"/>
        <v>0</v>
      </c>
      <c r="AR108" s="531">
        <f t="shared" si="46"/>
        <v>0</v>
      </c>
      <c r="AS108" s="531">
        <f t="shared" si="47"/>
        <v>0</v>
      </c>
      <c r="AT108" s="531">
        <f t="shared" si="48"/>
        <v>0</v>
      </c>
      <c r="AU108" s="531">
        <f t="shared" si="49"/>
        <v>0</v>
      </c>
      <c r="AV108" s="531">
        <f t="shared" si="50"/>
        <v>0</v>
      </c>
      <c r="AW108" s="531">
        <f t="shared" si="51"/>
        <v>0</v>
      </c>
      <c r="AX108" s="531">
        <f t="shared" si="52"/>
        <v>0</v>
      </c>
      <c r="AY108" s="531">
        <f t="shared" si="53"/>
        <v>0</v>
      </c>
      <c r="AZ108" s="510">
        <f t="shared" si="54"/>
        <v>7922.28</v>
      </c>
      <c r="BA108" s="643">
        <v>1</v>
      </c>
    </row>
    <row r="109" spans="1:53" x14ac:dyDescent="0.2">
      <c r="A109" s="480">
        <v>109</v>
      </c>
      <c r="B109" s="637">
        <f t="shared" si="30"/>
        <v>102</v>
      </c>
      <c r="C109" s="672" t="s">
        <v>370</v>
      </c>
      <c r="D109" s="516">
        <v>755.02</v>
      </c>
      <c r="E109" s="517">
        <v>943.78</v>
      </c>
      <c r="F109" s="517">
        <v>962.66</v>
      </c>
      <c r="G109" s="518">
        <v>1085.3499999999999</v>
      </c>
      <c r="H109" s="518">
        <v>1302.4100000000001</v>
      </c>
      <c r="I109" s="519">
        <v>1354.61</v>
      </c>
      <c r="J109" s="520">
        <v>1953.61</v>
      </c>
      <c r="K109" s="521">
        <v>2442.02</v>
      </c>
      <c r="L109" s="522">
        <v>3174.62</v>
      </c>
      <c r="M109" s="523">
        <v>3251.05</v>
      </c>
      <c r="N109" s="522">
        <v>4920.67</v>
      </c>
      <c r="O109" s="524">
        <v>4920.67</v>
      </c>
      <c r="P109" s="525">
        <v>7922.28</v>
      </c>
      <c r="Q109" s="525">
        <v>7922.28</v>
      </c>
      <c r="R109" s="525">
        <v>2</v>
      </c>
      <c r="S109" s="525">
        <v>3</v>
      </c>
      <c r="T109" s="525">
        <v>4</v>
      </c>
      <c r="U109" s="525">
        <v>5</v>
      </c>
      <c r="V109" s="525">
        <v>6</v>
      </c>
      <c r="W109" s="525">
        <v>7</v>
      </c>
      <c r="X109" s="525">
        <v>8</v>
      </c>
      <c r="Y109" s="525">
        <v>9</v>
      </c>
      <c r="Z109" s="525">
        <v>10</v>
      </c>
      <c r="AA109" s="525">
        <v>11</v>
      </c>
      <c r="AB109" s="526">
        <f t="shared" si="31"/>
        <v>0</v>
      </c>
      <c r="AC109" s="527">
        <f t="shared" si="32"/>
        <v>0</v>
      </c>
      <c r="AD109" s="527">
        <f t="shared" si="33"/>
        <v>0</v>
      </c>
      <c r="AE109" s="528">
        <f t="shared" si="55"/>
        <v>0</v>
      </c>
      <c r="AF109" s="528">
        <f t="shared" si="34"/>
        <v>0</v>
      </c>
      <c r="AG109" s="528">
        <f t="shared" si="35"/>
        <v>0</v>
      </c>
      <c r="AH109" s="529">
        <f t="shared" si="36"/>
        <v>0</v>
      </c>
      <c r="AI109" s="530">
        <f t="shared" si="37"/>
        <v>0</v>
      </c>
      <c r="AJ109" s="530">
        <f t="shared" si="38"/>
        <v>0</v>
      </c>
      <c r="AK109" s="530">
        <f t="shared" si="39"/>
        <v>0</v>
      </c>
      <c r="AL109" s="530">
        <f t="shared" si="40"/>
        <v>0</v>
      </c>
      <c r="AM109" s="530">
        <f t="shared" si="41"/>
        <v>0</v>
      </c>
      <c r="AN109" s="531">
        <f t="shared" si="42"/>
        <v>0</v>
      </c>
      <c r="AO109" s="531">
        <f t="shared" si="43"/>
        <v>7922.28</v>
      </c>
      <c r="AP109" s="531">
        <f t="shared" si="44"/>
        <v>0</v>
      </c>
      <c r="AQ109" s="531">
        <f t="shared" si="45"/>
        <v>0</v>
      </c>
      <c r="AR109" s="531">
        <f t="shared" si="46"/>
        <v>0</v>
      </c>
      <c r="AS109" s="531">
        <f t="shared" si="47"/>
        <v>0</v>
      </c>
      <c r="AT109" s="531">
        <f t="shared" si="48"/>
        <v>0</v>
      </c>
      <c r="AU109" s="531">
        <f t="shared" si="49"/>
        <v>0</v>
      </c>
      <c r="AV109" s="531">
        <f t="shared" si="50"/>
        <v>0</v>
      </c>
      <c r="AW109" s="531">
        <f t="shared" si="51"/>
        <v>0</v>
      </c>
      <c r="AX109" s="531">
        <f t="shared" si="52"/>
        <v>0</v>
      </c>
      <c r="AY109" s="531">
        <f t="shared" si="53"/>
        <v>0</v>
      </c>
      <c r="AZ109" s="510">
        <f t="shared" si="54"/>
        <v>7922.28</v>
      </c>
      <c r="BA109" s="643"/>
    </row>
    <row r="110" spans="1:53" x14ac:dyDescent="0.2">
      <c r="A110" s="480">
        <v>110</v>
      </c>
      <c r="B110" s="637">
        <f t="shared" si="30"/>
        <v>103</v>
      </c>
      <c r="C110" s="672" t="s">
        <v>45</v>
      </c>
      <c r="D110" s="516">
        <v>562.34</v>
      </c>
      <c r="E110" s="517">
        <v>702.93</v>
      </c>
      <c r="F110" s="517">
        <v>752.56</v>
      </c>
      <c r="G110" s="518">
        <v>808.37</v>
      </c>
      <c r="H110" s="518">
        <v>970.04</v>
      </c>
      <c r="I110" s="519">
        <v>1354.61</v>
      </c>
      <c r="J110" s="520">
        <v>1455.05</v>
      </c>
      <c r="K110" s="521">
        <v>2167.37</v>
      </c>
      <c r="L110" s="522">
        <v>2364.46</v>
      </c>
      <c r="M110" s="523">
        <v>3251.05</v>
      </c>
      <c r="N110" s="522">
        <v>3664.92</v>
      </c>
      <c r="O110" s="524">
        <v>4551.47</v>
      </c>
      <c r="P110" s="525">
        <v>5900.54</v>
      </c>
      <c r="Q110" s="525">
        <v>5916.92</v>
      </c>
      <c r="R110" s="525">
        <v>2</v>
      </c>
      <c r="S110" s="525">
        <v>3</v>
      </c>
      <c r="T110" s="525">
        <v>4</v>
      </c>
      <c r="U110" s="525">
        <v>5</v>
      </c>
      <c r="V110" s="525">
        <v>6</v>
      </c>
      <c r="W110" s="525">
        <v>7</v>
      </c>
      <c r="X110" s="525">
        <v>8</v>
      </c>
      <c r="Y110" s="525">
        <v>9</v>
      </c>
      <c r="Z110" s="525">
        <v>10</v>
      </c>
      <c r="AA110" s="525">
        <v>11</v>
      </c>
      <c r="AB110" s="526">
        <f t="shared" si="31"/>
        <v>0</v>
      </c>
      <c r="AC110" s="527">
        <f t="shared" si="32"/>
        <v>0</v>
      </c>
      <c r="AD110" s="527">
        <f t="shared" si="33"/>
        <v>0</v>
      </c>
      <c r="AE110" s="528">
        <f t="shared" si="55"/>
        <v>0</v>
      </c>
      <c r="AF110" s="528">
        <f t="shared" si="34"/>
        <v>0</v>
      </c>
      <c r="AG110" s="528">
        <f t="shared" si="35"/>
        <v>0</v>
      </c>
      <c r="AH110" s="529">
        <f t="shared" si="36"/>
        <v>0</v>
      </c>
      <c r="AI110" s="530">
        <f t="shared" si="37"/>
        <v>0</v>
      </c>
      <c r="AJ110" s="530">
        <f t="shared" si="38"/>
        <v>0</v>
      </c>
      <c r="AK110" s="530">
        <f t="shared" si="39"/>
        <v>0</v>
      </c>
      <c r="AL110" s="530">
        <f t="shared" si="40"/>
        <v>0</v>
      </c>
      <c r="AM110" s="530">
        <f t="shared" si="41"/>
        <v>0</v>
      </c>
      <c r="AN110" s="531">
        <f t="shared" si="42"/>
        <v>0</v>
      </c>
      <c r="AO110" s="531">
        <f t="shared" si="43"/>
        <v>5916.92</v>
      </c>
      <c r="AP110" s="531">
        <f t="shared" si="44"/>
        <v>0</v>
      </c>
      <c r="AQ110" s="531">
        <f t="shared" si="45"/>
        <v>0</v>
      </c>
      <c r="AR110" s="531">
        <f t="shared" si="46"/>
        <v>0</v>
      </c>
      <c r="AS110" s="531">
        <f t="shared" si="47"/>
        <v>0</v>
      </c>
      <c r="AT110" s="531">
        <f t="shared" si="48"/>
        <v>0</v>
      </c>
      <c r="AU110" s="531">
        <f t="shared" si="49"/>
        <v>0</v>
      </c>
      <c r="AV110" s="531">
        <f t="shared" si="50"/>
        <v>0</v>
      </c>
      <c r="AW110" s="531">
        <f t="shared" si="51"/>
        <v>0</v>
      </c>
      <c r="AX110" s="531">
        <f t="shared" si="52"/>
        <v>0</v>
      </c>
      <c r="AY110" s="531">
        <f t="shared" si="53"/>
        <v>0</v>
      </c>
      <c r="AZ110" s="510">
        <f t="shared" si="54"/>
        <v>5916.92</v>
      </c>
      <c r="BA110" s="643"/>
    </row>
    <row r="111" spans="1:53" x14ac:dyDescent="0.2">
      <c r="A111" s="480">
        <v>111</v>
      </c>
    </row>
  </sheetData>
  <mergeCells count="2">
    <mergeCell ref="AB3:AY3"/>
    <mergeCell ref="D3:AA3"/>
  </mergeCells>
  <phoneticPr fontId="0" type="noConversion"/>
  <pageMargins left="0.75" right="0.75" top="1" bottom="1" header="0" footer="0"/>
  <pageSetup orientation="portrait" r:id="rId1"/>
  <headerFooter alignWithMargins="0"/>
  <ignoredErrors>
    <ignoredError sqref="AO9" formula="1"/>
    <ignoredError sqref="F7 Q7:AA7 H7:I7 L7 O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57"/>
  </sheetPr>
  <dimension ref="A1:O112"/>
  <sheetViews>
    <sheetView showGridLines="0" topLeftCell="D1" workbookViewId="0">
      <selection activeCell="J18" sqref="J18"/>
    </sheetView>
  </sheetViews>
  <sheetFormatPr baseColWidth="10" defaultRowHeight="11.25" x14ac:dyDescent="0.2"/>
  <cols>
    <col min="4" max="4" width="17.33203125" style="484" customWidth="1"/>
    <col min="5" max="5" width="16.1640625" customWidth="1"/>
    <col min="7" max="7" width="16.33203125" customWidth="1"/>
    <col min="8" max="8" width="17.83203125" customWidth="1"/>
    <col min="9" max="9" width="12" style="254"/>
    <col min="12" max="13" width="12" style="679"/>
    <col min="14" max="14" width="5.6640625" customWidth="1"/>
  </cols>
  <sheetData>
    <row r="1" spans="1:15" s="14" customFormat="1" x14ac:dyDescent="0.2">
      <c r="A1" s="57" t="s">
        <v>0</v>
      </c>
      <c r="B1" s="57" t="s">
        <v>1</v>
      </c>
      <c r="C1" s="57" t="s">
        <v>2</v>
      </c>
      <c r="D1" s="482" t="s">
        <v>3</v>
      </c>
      <c r="E1" s="57" t="s">
        <v>4</v>
      </c>
      <c r="F1" s="486" t="s">
        <v>5</v>
      </c>
      <c r="G1" s="57" t="s">
        <v>6</v>
      </c>
      <c r="H1" s="57" t="s">
        <v>7</v>
      </c>
      <c r="I1" s="486" t="s">
        <v>8</v>
      </c>
      <c r="J1" s="57" t="s">
        <v>9</v>
      </c>
      <c r="K1" s="57" t="s">
        <v>10</v>
      </c>
      <c r="L1" s="704" t="s">
        <v>177</v>
      </c>
      <c r="M1" s="704" t="s">
        <v>178</v>
      </c>
    </row>
    <row r="2" spans="1:15" x14ac:dyDescent="0.2">
      <c r="A2" s="14">
        <v>2</v>
      </c>
      <c r="F2" s="254"/>
    </row>
    <row r="3" spans="1:15" x14ac:dyDescent="0.2">
      <c r="A3" s="14">
        <v>3</v>
      </c>
      <c r="F3" s="254"/>
    </row>
    <row r="4" spans="1:15" x14ac:dyDescent="0.2">
      <c r="A4" s="14">
        <v>4</v>
      </c>
      <c r="C4" s="16" t="s">
        <v>371</v>
      </c>
      <c r="D4" s="504"/>
      <c r="E4" s="15"/>
      <c r="F4" s="689"/>
      <c r="G4" s="15"/>
      <c r="H4" s="15"/>
      <c r="I4" s="689"/>
      <c r="J4" s="15"/>
      <c r="K4" s="15"/>
      <c r="L4" s="705"/>
      <c r="M4" s="705"/>
    </row>
    <row r="5" spans="1:15" x14ac:dyDescent="0.2">
      <c r="A5" s="14">
        <v>5</v>
      </c>
      <c r="F5" s="254"/>
    </row>
    <row r="6" spans="1:15" x14ac:dyDescent="0.2">
      <c r="A6" s="14">
        <v>6</v>
      </c>
      <c r="D6" s="505" t="s">
        <v>372</v>
      </c>
      <c r="E6" s="17" t="s">
        <v>373</v>
      </c>
      <c r="F6" s="254"/>
    </row>
    <row r="7" spans="1:15" x14ac:dyDescent="0.2">
      <c r="A7" s="14">
        <v>7</v>
      </c>
      <c r="D7" s="683">
        <v>1</v>
      </c>
      <c r="E7" s="177" t="s">
        <v>374</v>
      </c>
      <c r="F7" s="254"/>
    </row>
    <row r="8" spans="1:15" x14ac:dyDescent="0.2">
      <c r="A8" s="14">
        <v>8</v>
      </c>
      <c r="D8" s="683">
        <v>2</v>
      </c>
      <c r="E8" s="177" t="s">
        <v>375</v>
      </c>
      <c r="F8" s="254"/>
      <c r="G8" s="756" t="s">
        <v>376</v>
      </c>
      <c r="H8" s="757"/>
      <c r="I8" s="758"/>
      <c r="J8" s="23">
        <v>0.35</v>
      </c>
    </row>
    <row r="9" spans="1:15" x14ac:dyDescent="0.2">
      <c r="A9" s="14">
        <v>9</v>
      </c>
      <c r="F9" s="254"/>
    </row>
    <row r="10" spans="1:15" x14ac:dyDescent="0.2">
      <c r="A10" s="14">
        <v>10</v>
      </c>
      <c r="C10" s="16" t="s">
        <v>377</v>
      </c>
      <c r="D10" s="504"/>
      <c r="E10" s="15"/>
      <c r="F10" s="689"/>
      <c r="G10" s="15"/>
      <c r="H10" s="15"/>
      <c r="I10" s="689"/>
      <c r="J10" s="15"/>
      <c r="K10" s="15"/>
      <c r="L10" s="705"/>
      <c r="M10" s="705"/>
    </row>
    <row r="11" spans="1:15" x14ac:dyDescent="0.2">
      <c r="A11" s="14">
        <v>11</v>
      </c>
      <c r="F11" s="254"/>
    </row>
    <row r="12" spans="1:15" x14ac:dyDescent="0.2">
      <c r="A12" s="14">
        <v>12</v>
      </c>
      <c r="C12" t="s">
        <v>378</v>
      </c>
      <c r="F12" s="254" t="s">
        <v>379</v>
      </c>
      <c r="I12" s="254" t="s">
        <v>380</v>
      </c>
      <c r="L12" s="706"/>
      <c r="M12" s="706"/>
    </row>
    <row r="13" spans="1:15" x14ac:dyDescent="0.2">
      <c r="A13" s="14">
        <v>13</v>
      </c>
      <c r="F13" s="254"/>
      <c r="L13" s="706"/>
      <c r="M13" s="706"/>
    </row>
    <row r="14" spans="1:15" x14ac:dyDescent="0.2">
      <c r="A14" s="14">
        <v>14</v>
      </c>
      <c r="C14" s="20" t="s">
        <v>381</v>
      </c>
      <c r="D14" s="682" t="s">
        <v>382</v>
      </c>
      <c r="F14" s="690" t="s">
        <v>381</v>
      </c>
      <c r="G14" s="687" t="s">
        <v>383</v>
      </c>
      <c r="I14" s="690" t="s">
        <v>381</v>
      </c>
      <c r="J14" s="20" t="s">
        <v>384</v>
      </c>
      <c r="L14" s="707"/>
      <c r="M14" s="708"/>
    </row>
    <row r="15" spans="1:15" x14ac:dyDescent="0.2">
      <c r="A15" s="14">
        <v>15</v>
      </c>
      <c r="C15" s="21" t="s">
        <v>385</v>
      </c>
      <c r="D15" s="696">
        <f t="shared" ref="D15:D38" si="0">M15</f>
        <v>42370</v>
      </c>
      <c r="F15" s="688" t="s">
        <v>385</v>
      </c>
      <c r="G15" s="503" t="s">
        <v>386</v>
      </c>
      <c r="I15" s="688" t="s">
        <v>385</v>
      </c>
      <c r="J15" s="696">
        <f>_FCC1</f>
        <v>42491</v>
      </c>
      <c r="K15" s="697" t="s">
        <v>183</v>
      </c>
      <c r="L15" s="699">
        <v>42491</v>
      </c>
      <c r="M15" s="700">
        <v>42370</v>
      </c>
      <c r="O15" s="701" t="s">
        <v>387</v>
      </c>
    </row>
    <row r="16" spans="1:15" x14ac:dyDescent="0.2">
      <c r="A16" s="14">
        <v>16</v>
      </c>
      <c r="C16" s="21" t="s">
        <v>388</v>
      </c>
      <c r="D16" s="696">
        <f t="shared" si="0"/>
        <v>42491</v>
      </c>
      <c r="F16" s="688" t="s">
        <v>388</v>
      </c>
      <c r="G16" s="503" t="s">
        <v>389</v>
      </c>
      <c r="I16" s="688" t="s">
        <v>388</v>
      </c>
      <c r="J16" s="696">
        <f>_FCC2</f>
        <v>42856</v>
      </c>
      <c r="K16" s="697" t="s">
        <v>183</v>
      </c>
      <c r="L16" s="699">
        <v>42856</v>
      </c>
      <c r="M16" s="700">
        <v>42491</v>
      </c>
      <c r="O16" s="701" t="s">
        <v>390</v>
      </c>
    </row>
    <row r="17" spans="1:15" x14ac:dyDescent="0.2">
      <c r="A17" s="14">
        <v>17</v>
      </c>
      <c r="C17" s="21" t="s">
        <v>391</v>
      </c>
      <c r="D17" s="696">
        <f t="shared" si="0"/>
        <v>42614</v>
      </c>
      <c r="I17" s="688" t="s">
        <v>391</v>
      </c>
      <c r="J17" s="696">
        <f>_FCC3</f>
        <v>43221</v>
      </c>
      <c r="K17" s="697" t="s">
        <v>183</v>
      </c>
      <c r="L17" s="699">
        <v>43221</v>
      </c>
      <c r="M17" s="700">
        <v>42614</v>
      </c>
      <c r="O17" s="701" t="s">
        <v>392</v>
      </c>
    </row>
    <row r="18" spans="1:15" x14ac:dyDescent="0.2">
      <c r="A18" s="14">
        <v>18</v>
      </c>
      <c r="C18" s="21" t="s">
        <v>393</v>
      </c>
      <c r="D18" s="696">
        <f t="shared" si="0"/>
        <v>42644</v>
      </c>
      <c r="K18" s="698" t="s">
        <v>183</v>
      </c>
      <c r="M18" s="700">
        <v>42644</v>
      </c>
    </row>
    <row r="19" spans="1:15" x14ac:dyDescent="0.2">
      <c r="A19" s="14">
        <v>19</v>
      </c>
      <c r="C19" s="21" t="s">
        <v>394</v>
      </c>
      <c r="D19" s="696">
        <f t="shared" si="0"/>
        <v>42644</v>
      </c>
      <c r="K19" s="698" t="s">
        <v>183</v>
      </c>
      <c r="M19" s="700">
        <v>42644</v>
      </c>
    </row>
    <row r="20" spans="1:15" x14ac:dyDescent="0.2">
      <c r="A20" s="14">
        <v>20</v>
      </c>
      <c r="C20" s="21" t="s">
        <v>395</v>
      </c>
      <c r="D20" s="696">
        <f t="shared" si="0"/>
        <v>42736</v>
      </c>
      <c r="K20" s="698" t="s">
        <v>183</v>
      </c>
      <c r="M20" s="700">
        <v>42736</v>
      </c>
    </row>
    <row r="21" spans="1:15" x14ac:dyDescent="0.2">
      <c r="A21" s="14">
        <v>21</v>
      </c>
      <c r="C21" s="21" t="s">
        <v>396</v>
      </c>
      <c r="D21" s="696">
        <f t="shared" si="0"/>
        <v>42782</v>
      </c>
      <c r="K21" s="698" t="s">
        <v>183</v>
      </c>
      <c r="M21" s="700">
        <v>42782</v>
      </c>
    </row>
    <row r="22" spans="1:15" x14ac:dyDescent="0.2">
      <c r="A22" s="14">
        <v>22</v>
      </c>
      <c r="C22" s="21" t="s">
        <v>397</v>
      </c>
      <c r="D22" s="696">
        <f t="shared" si="0"/>
        <v>42856</v>
      </c>
      <c r="E22" s="253"/>
      <c r="K22" s="698" t="s">
        <v>183</v>
      </c>
      <c r="M22" s="700">
        <v>42856</v>
      </c>
    </row>
    <row r="23" spans="1:15" x14ac:dyDescent="0.2">
      <c r="A23" s="14">
        <v>23</v>
      </c>
      <c r="C23" s="21" t="s">
        <v>398</v>
      </c>
      <c r="D23" s="696">
        <f t="shared" si="0"/>
        <v>42888</v>
      </c>
      <c r="E23" s="253"/>
      <c r="K23" s="698" t="s">
        <v>183</v>
      </c>
      <c r="M23" s="700">
        <v>42888</v>
      </c>
    </row>
    <row r="24" spans="1:15" x14ac:dyDescent="0.2">
      <c r="A24" s="14">
        <v>24</v>
      </c>
      <c r="C24" s="21" t="s">
        <v>399</v>
      </c>
      <c r="D24" s="696">
        <f t="shared" si="0"/>
        <v>42917</v>
      </c>
      <c r="E24" s="253"/>
      <c r="K24" s="698" t="s">
        <v>183</v>
      </c>
      <c r="M24" s="700">
        <v>42917</v>
      </c>
    </row>
    <row r="25" spans="1:15" x14ac:dyDescent="0.2">
      <c r="A25" s="14">
        <v>25</v>
      </c>
      <c r="C25" s="21" t="s">
        <v>400</v>
      </c>
      <c r="D25" s="696">
        <f t="shared" si="0"/>
        <v>42954</v>
      </c>
      <c r="E25" s="253"/>
      <c r="K25" s="698" t="s">
        <v>183</v>
      </c>
      <c r="M25" s="700">
        <v>42954</v>
      </c>
    </row>
    <row r="26" spans="1:15" x14ac:dyDescent="0.2">
      <c r="A26" s="14">
        <v>26</v>
      </c>
      <c r="C26" s="21" t="s">
        <v>401</v>
      </c>
      <c r="D26" s="696">
        <f t="shared" si="0"/>
        <v>42979</v>
      </c>
      <c r="E26" s="253"/>
      <c r="K26" s="698" t="s">
        <v>183</v>
      </c>
      <c r="M26" s="700">
        <v>42979</v>
      </c>
    </row>
    <row r="27" spans="1:15" x14ac:dyDescent="0.2">
      <c r="A27" s="14">
        <v>27</v>
      </c>
      <c r="C27" s="461" t="s">
        <v>402</v>
      </c>
      <c r="D27" s="696">
        <f t="shared" si="0"/>
        <v>43009</v>
      </c>
      <c r="E27" s="509"/>
      <c r="K27" s="698" t="s">
        <v>183</v>
      </c>
      <c r="M27" s="700">
        <v>43009</v>
      </c>
    </row>
    <row r="28" spans="1:15" x14ac:dyDescent="0.2">
      <c r="A28" s="14">
        <v>28</v>
      </c>
      <c r="C28" s="461" t="s">
        <v>403</v>
      </c>
      <c r="D28" s="696">
        <f t="shared" si="0"/>
        <v>43040</v>
      </c>
      <c r="E28" s="509"/>
      <c r="K28" s="698" t="s">
        <v>183</v>
      </c>
      <c r="M28" s="700">
        <v>43040</v>
      </c>
    </row>
    <row r="29" spans="1:15" x14ac:dyDescent="0.2">
      <c r="A29" s="14">
        <v>29</v>
      </c>
      <c r="C29" s="461" t="s">
        <v>404</v>
      </c>
      <c r="D29" s="696">
        <f t="shared" si="0"/>
        <v>43009</v>
      </c>
      <c r="E29" s="509"/>
      <c r="K29" s="698" t="s">
        <v>183</v>
      </c>
      <c r="M29" s="700">
        <v>43009</v>
      </c>
    </row>
    <row r="30" spans="1:15" x14ac:dyDescent="0.2">
      <c r="A30" s="14">
        <v>30</v>
      </c>
      <c r="C30" s="461" t="s">
        <v>405</v>
      </c>
      <c r="D30" s="696">
        <f t="shared" si="0"/>
        <v>43009</v>
      </c>
      <c r="E30" s="509"/>
      <c r="K30" s="698" t="s">
        <v>183</v>
      </c>
      <c r="M30" s="700">
        <v>43009</v>
      </c>
    </row>
    <row r="31" spans="1:15" x14ac:dyDescent="0.2">
      <c r="A31" s="14">
        <v>31</v>
      </c>
      <c r="C31" s="461" t="s">
        <v>406</v>
      </c>
      <c r="D31" s="696">
        <f t="shared" si="0"/>
        <v>43009</v>
      </c>
      <c r="E31" s="509"/>
      <c r="K31" s="698" t="s">
        <v>183</v>
      </c>
      <c r="M31" s="700">
        <v>43009</v>
      </c>
    </row>
    <row r="32" spans="1:15" x14ac:dyDescent="0.2">
      <c r="A32" s="14">
        <v>32</v>
      </c>
      <c r="C32" s="461" t="s">
        <v>407</v>
      </c>
      <c r="D32" s="696">
        <f t="shared" si="0"/>
        <v>43009</v>
      </c>
      <c r="E32" s="509"/>
      <c r="K32" s="698" t="s">
        <v>183</v>
      </c>
      <c r="M32" s="700">
        <v>43009</v>
      </c>
    </row>
    <row r="33" spans="1:13" x14ac:dyDescent="0.2">
      <c r="A33" s="14">
        <v>33</v>
      </c>
      <c r="C33" s="461" t="s">
        <v>408</v>
      </c>
      <c r="D33" s="696">
        <f t="shared" si="0"/>
        <v>43009</v>
      </c>
      <c r="E33" s="509"/>
      <c r="K33" s="698" t="s">
        <v>183</v>
      </c>
      <c r="M33" s="700">
        <v>43009</v>
      </c>
    </row>
    <row r="34" spans="1:13" x14ac:dyDescent="0.2">
      <c r="A34" s="14">
        <v>34</v>
      </c>
      <c r="C34" s="461" t="s">
        <v>409</v>
      </c>
      <c r="D34" s="696">
        <f t="shared" si="0"/>
        <v>43009</v>
      </c>
      <c r="E34" s="509"/>
      <c r="K34" s="698" t="s">
        <v>183</v>
      </c>
      <c r="M34" s="700">
        <v>43009</v>
      </c>
    </row>
    <row r="35" spans="1:13" x14ac:dyDescent="0.2">
      <c r="A35" s="14">
        <v>35</v>
      </c>
      <c r="C35" s="461" t="s">
        <v>410</v>
      </c>
      <c r="D35" s="696">
        <f t="shared" si="0"/>
        <v>43009</v>
      </c>
      <c r="E35" s="509"/>
      <c r="K35" s="698" t="s">
        <v>183</v>
      </c>
      <c r="M35" s="700">
        <v>43009</v>
      </c>
    </row>
    <row r="36" spans="1:13" x14ac:dyDescent="0.2">
      <c r="A36" s="14">
        <v>36</v>
      </c>
      <c r="C36" s="461" t="s">
        <v>411</v>
      </c>
      <c r="D36" s="696">
        <f t="shared" si="0"/>
        <v>43009</v>
      </c>
      <c r="E36" s="509"/>
      <c r="K36" s="698" t="s">
        <v>183</v>
      </c>
      <c r="M36" s="700">
        <v>43009</v>
      </c>
    </row>
    <row r="37" spans="1:13" x14ac:dyDescent="0.2">
      <c r="A37" s="14">
        <v>37</v>
      </c>
      <c r="C37" s="461" t="s">
        <v>412</v>
      </c>
      <c r="D37" s="696">
        <f t="shared" si="0"/>
        <v>43009</v>
      </c>
      <c r="E37" s="509"/>
      <c r="K37" s="698" t="s">
        <v>183</v>
      </c>
      <c r="M37" s="700">
        <v>43009</v>
      </c>
    </row>
    <row r="38" spans="1:13" x14ac:dyDescent="0.2">
      <c r="A38" s="14">
        <v>38</v>
      </c>
      <c r="C38" s="461" t="s">
        <v>413</v>
      </c>
      <c r="D38" s="696">
        <f t="shared" si="0"/>
        <v>43009</v>
      </c>
      <c r="E38" s="509"/>
      <c r="K38" s="698" t="s">
        <v>183</v>
      </c>
      <c r="M38" s="700">
        <v>43009</v>
      </c>
    </row>
    <row r="39" spans="1:13" x14ac:dyDescent="0.2">
      <c r="A39" s="14">
        <v>39</v>
      </c>
    </row>
    <row r="40" spans="1:13" x14ac:dyDescent="0.2">
      <c r="A40" s="14">
        <v>40</v>
      </c>
      <c r="C40" s="16" t="s">
        <v>414</v>
      </c>
      <c r="D40" s="504"/>
      <c r="E40" s="15"/>
      <c r="F40" s="15"/>
      <c r="G40" s="15"/>
      <c r="H40" s="15"/>
      <c r="I40" s="689"/>
      <c r="J40" s="15"/>
      <c r="K40" s="15"/>
      <c r="L40" s="705"/>
      <c r="M40" s="705"/>
    </row>
    <row r="41" spans="1:13" x14ac:dyDescent="0.2">
      <c r="A41" s="14">
        <v>41</v>
      </c>
    </row>
    <row r="42" spans="1:13" x14ac:dyDescent="0.2">
      <c r="A42" s="14">
        <v>42</v>
      </c>
      <c r="C42" s="29"/>
      <c r="D42" s="507"/>
    </row>
    <row r="43" spans="1:13" x14ac:dyDescent="0.2">
      <c r="A43" s="14">
        <v>43</v>
      </c>
      <c r="C43" s="759" t="s">
        <v>415</v>
      </c>
      <c r="D43" s="760"/>
      <c r="E43" s="761"/>
      <c r="F43" s="23">
        <f>J8/2</f>
        <v>0.17499999999999999</v>
      </c>
    </row>
    <row r="44" spans="1:13" x14ac:dyDescent="0.2">
      <c r="A44" s="14">
        <v>44</v>
      </c>
      <c r="C44" s="756" t="s">
        <v>376</v>
      </c>
      <c r="D44" s="739"/>
      <c r="E44" s="740"/>
      <c r="F44" s="83">
        <f>J8</f>
        <v>0.35</v>
      </c>
    </row>
    <row r="45" spans="1:13" x14ac:dyDescent="0.2">
      <c r="A45" s="14">
        <v>45</v>
      </c>
      <c r="C45" s="250"/>
      <c r="D45" s="508"/>
    </row>
    <row r="46" spans="1:13" x14ac:dyDescent="0.2">
      <c r="A46" s="14">
        <v>46</v>
      </c>
    </row>
    <row r="47" spans="1:13" x14ac:dyDescent="0.2">
      <c r="A47" s="14">
        <v>47</v>
      </c>
      <c r="C47" s="16" t="s">
        <v>416</v>
      </c>
      <c r="D47" s="504"/>
      <c r="E47" s="15"/>
      <c r="F47" s="15"/>
      <c r="G47" s="15"/>
      <c r="H47" s="15"/>
      <c r="I47" s="689"/>
      <c r="J47" s="15"/>
      <c r="K47" s="15"/>
      <c r="L47" s="705"/>
      <c r="M47" s="705"/>
    </row>
    <row r="48" spans="1:13" x14ac:dyDescent="0.2">
      <c r="A48" s="14">
        <v>48</v>
      </c>
    </row>
    <row r="49" spans="1:13" x14ac:dyDescent="0.2">
      <c r="A49" s="14">
        <v>49</v>
      </c>
      <c r="D49" s="506" t="s">
        <v>381</v>
      </c>
      <c r="E49" s="20" t="s">
        <v>31</v>
      </c>
      <c r="G49" s="20" t="s">
        <v>381</v>
      </c>
      <c r="H49" s="20" t="s">
        <v>417</v>
      </c>
    </row>
    <row r="50" spans="1:13" x14ac:dyDescent="0.2">
      <c r="A50" s="14">
        <v>50</v>
      </c>
      <c r="D50" s="683">
        <v>1</v>
      </c>
      <c r="E50" s="732" t="s">
        <v>418</v>
      </c>
      <c r="G50" s="21" t="s">
        <v>385</v>
      </c>
      <c r="H50" s="732" t="s">
        <v>419</v>
      </c>
    </row>
    <row r="51" spans="1:13" x14ac:dyDescent="0.2">
      <c r="A51" s="14">
        <v>51</v>
      </c>
      <c r="D51" s="683">
        <v>2</v>
      </c>
      <c r="E51" s="732" t="s">
        <v>420</v>
      </c>
      <c r="G51" s="21" t="s">
        <v>388</v>
      </c>
      <c r="H51" s="732" t="s">
        <v>419</v>
      </c>
    </row>
    <row r="52" spans="1:13" x14ac:dyDescent="0.2">
      <c r="A52" s="14">
        <v>52</v>
      </c>
      <c r="D52" s="683">
        <v>3</v>
      </c>
      <c r="E52" s="732" t="s">
        <v>421</v>
      </c>
    </row>
    <row r="53" spans="1:13" x14ac:dyDescent="0.2">
      <c r="A53" s="14">
        <v>53</v>
      </c>
      <c r="D53" s="683">
        <v>4</v>
      </c>
      <c r="E53" s="732" t="s">
        <v>422</v>
      </c>
    </row>
    <row r="54" spans="1:13" x14ac:dyDescent="0.2">
      <c r="A54" s="14">
        <v>54</v>
      </c>
      <c r="D54" s="683">
        <v>5</v>
      </c>
      <c r="E54" s="732" t="s">
        <v>423</v>
      </c>
    </row>
    <row r="55" spans="1:13" x14ac:dyDescent="0.2">
      <c r="A55" s="14">
        <v>55</v>
      </c>
      <c r="D55" s="683">
        <v>6</v>
      </c>
      <c r="E55" s="732" t="s">
        <v>424</v>
      </c>
    </row>
    <row r="56" spans="1:13" x14ac:dyDescent="0.2">
      <c r="A56" s="14">
        <v>56</v>
      </c>
      <c r="D56" s="683">
        <v>7</v>
      </c>
      <c r="E56" s="732" t="s">
        <v>425</v>
      </c>
    </row>
    <row r="57" spans="1:13" x14ac:dyDescent="0.2">
      <c r="A57" s="14">
        <v>57</v>
      </c>
    </row>
    <row r="58" spans="1:13" x14ac:dyDescent="0.2">
      <c r="A58" s="14">
        <v>58</v>
      </c>
      <c r="C58" s="16" t="s">
        <v>426</v>
      </c>
      <c r="D58" s="504"/>
      <c r="E58" s="15"/>
      <c r="F58" s="15"/>
      <c r="G58" s="15"/>
      <c r="H58" s="15"/>
      <c r="I58" s="689"/>
      <c r="J58" s="15"/>
      <c r="K58" s="15"/>
      <c r="L58" s="705"/>
      <c r="M58" s="705"/>
    </row>
    <row r="59" spans="1:13" x14ac:dyDescent="0.2">
      <c r="A59" s="14">
        <v>59</v>
      </c>
    </row>
    <row r="60" spans="1:13" x14ac:dyDescent="0.2">
      <c r="A60" s="14">
        <v>60</v>
      </c>
      <c r="F60" s="18" t="s">
        <v>427</v>
      </c>
      <c r="G60" s="13" t="s">
        <v>428</v>
      </c>
      <c r="H60" s="14" t="s">
        <v>429</v>
      </c>
      <c r="I60" s="691" t="s">
        <v>430</v>
      </c>
    </row>
    <row r="61" spans="1:13" x14ac:dyDescent="0.2">
      <c r="A61" s="14">
        <v>61</v>
      </c>
    </row>
    <row r="62" spans="1:13" x14ac:dyDescent="0.2">
      <c r="A62" s="14">
        <v>62</v>
      </c>
      <c r="F62" t="s">
        <v>431</v>
      </c>
      <c r="G62" s="199">
        <f>((G60*100)/I60)/100</f>
        <v>1.9599999999999999E-2</v>
      </c>
    </row>
    <row r="63" spans="1:13" x14ac:dyDescent="0.2">
      <c r="A63" s="14">
        <v>63</v>
      </c>
    </row>
    <row r="64" spans="1:13" x14ac:dyDescent="0.2">
      <c r="A64" s="14">
        <v>64</v>
      </c>
      <c r="C64" s="16" t="s">
        <v>432</v>
      </c>
      <c r="D64" s="504"/>
      <c r="E64" s="15"/>
      <c r="F64" s="15"/>
      <c r="G64" s="15"/>
      <c r="H64" s="15"/>
      <c r="I64" s="689"/>
      <c r="J64" s="15"/>
      <c r="K64" s="15"/>
      <c r="L64" s="705"/>
      <c r="M64" s="705"/>
    </row>
    <row r="65" spans="1:13" x14ac:dyDescent="0.2">
      <c r="A65" s="14">
        <v>65</v>
      </c>
    </row>
    <row r="66" spans="1:13" x14ac:dyDescent="0.2">
      <c r="A66" s="14">
        <v>66</v>
      </c>
      <c r="F66" s="18" t="s">
        <v>433</v>
      </c>
      <c r="G66" s="13" t="s">
        <v>391</v>
      </c>
      <c r="H66" s="14" t="s">
        <v>429</v>
      </c>
      <c r="I66" s="691" t="s">
        <v>430</v>
      </c>
    </row>
    <row r="67" spans="1:13" x14ac:dyDescent="0.2">
      <c r="A67" s="14">
        <v>67</v>
      </c>
    </row>
    <row r="68" spans="1:13" x14ac:dyDescent="0.2">
      <c r="A68" s="14">
        <v>68</v>
      </c>
      <c r="F68" t="s">
        <v>431</v>
      </c>
      <c r="G68" s="199">
        <f>((G66*100)/I66)/100</f>
        <v>3.0000000000000001E-3</v>
      </c>
    </row>
    <row r="69" spans="1:13" x14ac:dyDescent="0.2">
      <c r="A69" s="14">
        <v>69</v>
      </c>
    </row>
    <row r="70" spans="1:13" x14ac:dyDescent="0.2">
      <c r="A70" s="14">
        <v>70</v>
      </c>
      <c r="C70" s="16" t="s">
        <v>434</v>
      </c>
      <c r="D70" s="504"/>
      <c r="E70" s="15"/>
      <c r="F70" s="15"/>
      <c r="G70" s="15"/>
      <c r="H70" s="15"/>
      <c r="I70" s="689"/>
      <c r="J70" s="15"/>
      <c r="K70" s="15"/>
      <c r="L70" s="705"/>
      <c r="M70" s="705"/>
    </row>
    <row r="71" spans="1:13" x14ac:dyDescent="0.2">
      <c r="A71" s="14">
        <v>71</v>
      </c>
    </row>
    <row r="72" spans="1:13" x14ac:dyDescent="0.2">
      <c r="A72" s="14">
        <v>72</v>
      </c>
      <c r="F72" s="18" t="s">
        <v>435</v>
      </c>
      <c r="G72" s="13" t="s">
        <v>436</v>
      </c>
      <c r="H72" s="14" t="s">
        <v>429</v>
      </c>
      <c r="I72" s="691" t="s">
        <v>430</v>
      </c>
    </row>
    <row r="73" spans="1:13" x14ac:dyDescent="0.2">
      <c r="A73" s="14">
        <v>73</v>
      </c>
    </row>
    <row r="74" spans="1:13" x14ac:dyDescent="0.2">
      <c r="A74" s="14">
        <v>74</v>
      </c>
      <c r="F74" t="s">
        <v>431</v>
      </c>
      <c r="G74" s="199">
        <f>((G72*100)/I72)/100</f>
        <v>5.4999999999999997E-3</v>
      </c>
    </row>
    <row r="75" spans="1:13" x14ac:dyDescent="0.2">
      <c r="A75" s="14">
        <v>75</v>
      </c>
    </row>
    <row r="76" spans="1:13" x14ac:dyDescent="0.2">
      <c r="A76" s="14">
        <v>76</v>
      </c>
    </row>
    <row r="77" spans="1:13" x14ac:dyDescent="0.2">
      <c r="A77" s="14">
        <v>77</v>
      </c>
      <c r="C77" s="16" t="s">
        <v>437</v>
      </c>
      <c r="D77" s="504"/>
      <c r="E77" s="15"/>
      <c r="F77" s="15"/>
      <c r="G77" s="15"/>
      <c r="H77" s="15"/>
      <c r="I77" s="689"/>
      <c r="J77" s="15"/>
      <c r="K77" s="15"/>
      <c r="L77" s="705"/>
      <c r="M77" s="705"/>
    </row>
    <row r="78" spans="1:13" x14ac:dyDescent="0.2">
      <c r="A78" s="14">
        <v>78</v>
      </c>
    </row>
    <row r="79" spans="1:13" x14ac:dyDescent="0.2">
      <c r="A79" s="14">
        <v>79</v>
      </c>
      <c r="E79" s="200" t="s">
        <v>94</v>
      </c>
      <c r="F79" s="732" t="s">
        <v>438</v>
      </c>
      <c r="H79" s="200" t="s">
        <v>95</v>
      </c>
      <c r="I79" s="732" t="s">
        <v>438</v>
      </c>
    </row>
    <row r="80" spans="1:13" x14ac:dyDescent="0.2">
      <c r="A80" s="14">
        <v>80</v>
      </c>
      <c r="F80" s="24"/>
    </row>
    <row r="81" spans="1:13" x14ac:dyDescent="0.2">
      <c r="A81" s="14">
        <v>81</v>
      </c>
      <c r="E81" s="200" t="s">
        <v>96</v>
      </c>
      <c r="F81" s="732" t="s">
        <v>438</v>
      </c>
      <c r="H81" s="201"/>
      <c r="I81" s="692"/>
      <c r="J81" s="84"/>
      <c r="K81" s="84"/>
    </row>
    <row r="82" spans="1:13" x14ac:dyDescent="0.2">
      <c r="A82" s="14">
        <v>82</v>
      </c>
      <c r="H82" s="84"/>
      <c r="I82" s="693"/>
      <c r="J82" s="84"/>
      <c r="K82" s="84"/>
    </row>
    <row r="83" spans="1:13" x14ac:dyDescent="0.2">
      <c r="A83" s="14">
        <v>83</v>
      </c>
      <c r="C83" s="16" t="s">
        <v>439</v>
      </c>
      <c r="D83" s="504"/>
      <c r="E83" s="15"/>
      <c r="F83" s="15"/>
      <c r="G83" s="15"/>
      <c r="H83" s="15"/>
      <c r="I83" s="689"/>
      <c r="J83" s="15"/>
      <c r="K83" s="15"/>
      <c r="L83" s="705"/>
      <c r="M83" s="705"/>
    </row>
    <row r="84" spans="1:13" x14ac:dyDescent="0.2">
      <c r="A84" s="14">
        <v>84</v>
      </c>
    </row>
    <row r="85" spans="1:13" x14ac:dyDescent="0.2">
      <c r="A85" s="14">
        <v>85</v>
      </c>
      <c r="D85" s="762" t="s">
        <v>440</v>
      </c>
      <c r="E85" s="762"/>
      <c r="F85" s="762"/>
      <c r="G85" s="335" t="s">
        <v>441</v>
      </c>
      <c r="H85" s="335" t="s">
        <v>442</v>
      </c>
      <c r="I85" s="694" t="s">
        <v>443</v>
      </c>
    </row>
    <row r="86" spans="1:13" x14ac:dyDescent="0.2">
      <c r="A86" s="14">
        <v>86</v>
      </c>
      <c r="D86" s="685">
        <v>1</v>
      </c>
      <c r="E86" s="125" t="s">
        <v>444</v>
      </c>
      <c r="F86" s="125" t="s">
        <v>445</v>
      </c>
      <c r="G86" s="246" t="s">
        <v>403</v>
      </c>
      <c r="H86" s="246" t="s">
        <v>410</v>
      </c>
      <c r="I86" s="695" t="s">
        <v>446</v>
      </c>
    </row>
    <row r="87" spans="1:13" x14ac:dyDescent="0.2">
      <c r="A87" s="14">
        <v>87</v>
      </c>
      <c r="D87" s="685">
        <v>2</v>
      </c>
      <c r="E87" s="125" t="s">
        <v>447</v>
      </c>
      <c r="F87" s="125" t="s">
        <v>448</v>
      </c>
      <c r="G87" s="246" t="s">
        <v>410</v>
      </c>
      <c r="H87" s="246" t="s">
        <v>449</v>
      </c>
      <c r="I87" s="695" t="s">
        <v>450</v>
      </c>
    </row>
    <row r="88" spans="1:13" x14ac:dyDescent="0.2">
      <c r="A88" s="14">
        <v>88</v>
      </c>
      <c r="D88" s="685">
        <v>3</v>
      </c>
      <c r="E88" s="125" t="s">
        <v>451</v>
      </c>
      <c r="F88" s="125" t="s">
        <v>452</v>
      </c>
      <c r="G88" s="246" t="s">
        <v>449</v>
      </c>
      <c r="H88" s="246" t="s">
        <v>453</v>
      </c>
      <c r="I88" s="695" t="s">
        <v>454</v>
      </c>
    </row>
    <row r="89" spans="1:13" x14ac:dyDescent="0.2">
      <c r="A89" s="14">
        <v>89</v>
      </c>
      <c r="D89" s="685">
        <v>4</v>
      </c>
      <c r="E89" s="125" t="s">
        <v>455</v>
      </c>
      <c r="F89" s="125" t="s">
        <v>456</v>
      </c>
      <c r="G89" s="246" t="s">
        <v>453</v>
      </c>
      <c r="H89" s="246" t="s">
        <v>454</v>
      </c>
      <c r="I89" s="695" t="s">
        <v>457</v>
      </c>
    </row>
    <row r="90" spans="1:13" x14ac:dyDescent="0.2">
      <c r="A90" s="14">
        <v>90</v>
      </c>
      <c r="D90" s="685">
        <v>5</v>
      </c>
      <c r="E90" s="125" t="s">
        <v>458</v>
      </c>
      <c r="F90" s="125" t="s">
        <v>459</v>
      </c>
      <c r="G90" s="246" t="s">
        <v>454</v>
      </c>
      <c r="H90" s="246" t="s">
        <v>460</v>
      </c>
      <c r="I90" s="695" t="s">
        <v>461</v>
      </c>
    </row>
    <row r="91" spans="1:13" x14ac:dyDescent="0.2">
      <c r="A91" s="14">
        <v>91</v>
      </c>
    </row>
    <row r="92" spans="1:13" x14ac:dyDescent="0.2">
      <c r="A92" s="14">
        <v>92</v>
      </c>
      <c r="D92" s="686">
        <v>1</v>
      </c>
      <c r="E92" s="684" t="s">
        <v>441</v>
      </c>
    </row>
    <row r="93" spans="1:13" x14ac:dyDescent="0.2">
      <c r="A93" s="14">
        <v>93</v>
      </c>
      <c r="D93" s="686">
        <v>2</v>
      </c>
      <c r="E93" s="684" t="s">
        <v>442</v>
      </c>
    </row>
    <row r="94" spans="1:13" x14ac:dyDescent="0.2">
      <c r="A94" s="14">
        <v>94</v>
      </c>
      <c r="D94" s="686">
        <v>3</v>
      </c>
      <c r="E94" s="684" t="s">
        <v>443</v>
      </c>
    </row>
    <row r="95" spans="1:13" x14ac:dyDescent="0.2">
      <c r="A95" s="14">
        <v>95</v>
      </c>
    </row>
    <row r="96" spans="1:13" x14ac:dyDescent="0.2">
      <c r="A96" s="14">
        <v>96</v>
      </c>
      <c r="C96" s="16" t="s">
        <v>462</v>
      </c>
      <c r="D96" s="504"/>
      <c r="E96" s="15"/>
      <c r="F96" s="15"/>
      <c r="G96" s="15"/>
      <c r="H96" s="15"/>
      <c r="I96" s="689"/>
      <c r="J96" s="15"/>
      <c r="K96" s="15"/>
      <c r="L96" s="705"/>
      <c r="M96" s="705"/>
    </row>
    <row r="97" spans="1:8" x14ac:dyDescent="0.2">
      <c r="A97" s="14">
        <v>97</v>
      </c>
    </row>
    <row r="98" spans="1:8" x14ac:dyDescent="0.2">
      <c r="A98" s="14">
        <v>98</v>
      </c>
      <c r="F98" s="347" t="s">
        <v>54</v>
      </c>
      <c r="G98" s="347" t="s">
        <v>463</v>
      </c>
      <c r="H98" s="347" t="s">
        <v>464</v>
      </c>
    </row>
    <row r="99" spans="1:8" x14ac:dyDescent="0.2">
      <c r="A99" s="14">
        <v>99</v>
      </c>
      <c r="F99" s="702">
        <v>1</v>
      </c>
      <c r="G99" s="732" t="s">
        <v>465</v>
      </c>
      <c r="H99" s="732" t="s">
        <v>385</v>
      </c>
    </row>
    <row r="100" spans="1:8" x14ac:dyDescent="0.2">
      <c r="A100" s="14">
        <v>100</v>
      </c>
      <c r="F100" s="702">
        <v>2</v>
      </c>
      <c r="G100" s="732" t="s">
        <v>465</v>
      </c>
      <c r="H100" s="732" t="s">
        <v>385</v>
      </c>
    </row>
    <row r="101" spans="1:8" x14ac:dyDescent="0.2">
      <c r="A101" s="14">
        <v>101</v>
      </c>
      <c r="F101" s="702">
        <v>3</v>
      </c>
      <c r="G101" s="732" t="s">
        <v>465</v>
      </c>
      <c r="H101" s="732" t="s">
        <v>385</v>
      </c>
    </row>
    <row r="102" spans="1:8" x14ac:dyDescent="0.2">
      <c r="A102" s="14">
        <v>102</v>
      </c>
      <c r="F102" s="702">
        <v>4</v>
      </c>
      <c r="G102" s="732" t="s">
        <v>465</v>
      </c>
      <c r="H102" s="732" t="s">
        <v>385</v>
      </c>
    </row>
    <row r="103" spans="1:8" x14ac:dyDescent="0.2">
      <c r="A103" s="14">
        <v>103</v>
      </c>
      <c r="F103" s="702">
        <v>5</v>
      </c>
      <c r="G103" s="732" t="s">
        <v>466</v>
      </c>
      <c r="H103" s="732" t="s">
        <v>388</v>
      </c>
    </row>
    <row r="104" spans="1:8" x14ac:dyDescent="0.2">
      <c r="A104" s="14">
        <v>104</v>
      </c>
      <c r="F104" s="702">
        <v>6</v>
      </c>
      <c r="G104" s="732" t="s">
        <v>466</v>
      </c>
      <c r="H104" s="732" t="s">
        <v>388</v>
      </c>
    </row>
    <row r="105" spans="1:8" x14ac:dyDescent="0.2">
      <c r="A105" s="14">
        <v>105</v>
      </c>
      <c r="F105" s="702">
        <v>7</v>
      </c>
      <c r="G105" s="732" t="s">
        <v>466</v>
      </c>
      <c r="H105" s="732" t="s">
        <v>388</v>
      </c>
    </row>
    <row r="106" spans="1:8" x14ac:dyDescent="0.2">
      <c r="A106" s="14">
        <v>106</v>
      </c>
      <c r="F106" s="702">
        <v>8</v>
      </c>
      <c r="G106" s="732" t="s">
        <v>466</v>
      </c>
      <c r="H106" s="732" t="s">
        <v>388</v>
      </c>
    </row>
    <row r="107" spans="1:8" x14ac:dyDescent="0.2">
      <c r="A107" s="14">
        <v>107</v>
      </c>
      <c r="F107" s="702">
        <v>9</v>
      </c>
      <c r="G107" s="732" t="s">
        <v>467</v>
      </c>
      <c r="H107" s="732" t="s">
        <v>391</v>
      </c>
    </row>
    <row r="108" spans="1:8" x14ac:dyDescent="0.2">
      <c r="A108" s="14">
        <v>108</v>
      </c>
      <c r="F108" s="702">
        <v>10</v>
      </c>
      <c r="G108" s="732" t="s">
        <v>467</v>
      </c>
      <c r="H108" s="732" t="s">
        <v>391</v>
      </c>
    </row>
    <row r="109" spans="1:8" x14ac:dyDescent="0.2">
      <c r="A109" s="14">
        <v>109</v>
      </c>
      <c r="F109" s="702">
        <v>11</v>
      </c>
      <c r="G109" s="732" t="s">
        <v>467</v>
      </c>
      <c r="H109" s="732" t="s">
        <v>391</v>
      </c>
    </row>
    <row r="110" spans="1:8" x14ac:dyDescent="0.2">
      <c r="A110" s="14">
        <v>110</v>
      </c>
      <c r="F110" s="702">
        <v>12</v>
      </c>
      <c r="G110" s="732" t="s">
        <v>467</v>
      </c>
      <c r="H110" s="732" t="s">
        <v>391</v>
      </c>
    </row>
    <row r="111" spans="1:8" x14ac:dyDescent="0.2">
      <c r="A111" s="14">
        <v>111</v>
      </c>
    </row>
    <row r="112" spans="1:8" x14ac:dyDescent="0.2">
      <c r="A112" s="14"/>
    </row>
  </sheetData>
  <mergeCells count="4">
    <mergeCell ref="G8:I8"/>
    <mergeCell ref="C43:E43"/>
    <mergeCell ref="D85:F85"/>
    <mergeCell ref="C44:E44"/>
  </mergeCells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indexed="15"/>
  </sheetPr>
  <dimension ref="A1:N234"/>
  <sheetViews>
    <sheetView showGridLines="0" topLeftCell="A199" workbookViewId="0">
      <selection activeCell="F233" sqref="F233"/>
    </sheetView>
  </sheetViews>
  <sheetFormatPr baseColWidth="10" defaultRowHeight="11.25" x14ac:dyDescent="0.2"/>
  <cols>
    <col min="5" max="5" width="12.83203125" customWidth="1"/>
    <col min="9" max="9" width="16.83203125" bestFit="1" customWidth="1"/>
    <col min="11" max="11" width="14.6640625" bestFit="1" customWidth="1"/>
    <col min="12" max="12" width="15.6640625" bestFit="1" customWidth="1"/>
  </cols>
  <sheetData>
    <row r="1" spans="1:14" s="14" customForma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177</v>
      </c>
      <c r="M1" s="57" t="s">
        <v>178</v>
      </c>
      <c r="N1" s="57" t="s">
        <v>179</v>
      </c>
    </row>
    <row r="2" spans="1:14" x14ac:dyDescent="0.2">
      <c r="A2" s="14">
        <v>2</v>
      </c>
    </row>
    <row r="3" spans="1:14" x14ac:dyDescent="0.2">
      <c r="A3" s="14">
        <v>3</v>
      </c>
      <c r="B3" s="419" t="s">
        <v>468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4" x14ac:dyDescent="0.2">
      <c r="A4" s="14">
        <v>4</v>
      </c>
    </row>
    <row r="5" spans="1:14" x14ac:dyDescent="0.2">
      <c r="A5" s="14">
        <v>5</v>
      </c>
      <c r="E5" s="18" t="s">
        <v>469</v>
      </c>
      <c r="F5" s="26">
        <f>FIPROY</f>
        <v>43010</v>
      </c>
      <c r="I5" s="18" t="s">
        <v>470</v>
      </c>
      <c r="J5" s="26">
        <f>FFPROY</f>
        <v>43375</v>
      </c>
      <c r="L5" s="18" t="s">
        <v>471</v>
      </c>
      <c r="M5" s="264">
        <f>(J5-F5)</f>
        <v>365</v>
      </c>
    </row>
    <row r="6" spans="1:14" x14ac:dyDescent="0.2">
      <c r="A6" s="14">
        <v>6</v>
      </c>
      <c r="L6" s="18" t="s">
        <v>472</v>
      </c>
      <c r="M6" s="14">
        <f>IF(L10&gt;0,1,0)+IF(L11&gt;0,1,0)+IF(L12&gt;0,1,0)+IF(L13&gt;0,1,0)</f>
        <v>2</v>
      </c>
    </row>
    <row r="7" spans="1:14" x14ac:dyDescent="0.2">
      <c r="A7" s="14">
        <v>7</v>
      </c>
      <c r="B7" s="763" t="s">
        <v>473</v>
      </c>
      <c r="C7" s="763"/>
      <c r="D7" s="763"/>
      <c r="E7" s="32"/>
      <c r="F7" s="32"/>
      <c r="G7" s="33" t="s">
        <v>474</v>
      </c>
      <c r="H7" s="33" t="s">
        <v>474</v>
      </c>
      <c r="I7" s="34" t="s">
        <v>23</v>
      </c>
      <c r="J7" s="34" t="s">
        <v>475</v>
      </c>
      <c r="K7" s="34" t="s">
        <v>23</v>
      </c>
      <c r="L7" s="32"/>
      <c r="M7" s="32"/>
    </row>
    <row r="8" spans="1:14" x14ac:dyDescent="0.2">
      <c r="A8" s="14">
        <v>8</v>
      </c>
      <c r="B8" s="35" t="s">
        <v>384</v>
      </c>
      <c r="C8" s="36"/>
      <c r="D8" s="35" t="s">
        <v>384</v>
      </c>
      <c r="E8" s="37" t="s">
        <v>474</v>
      </c>
      <c r="F8" s="37" t="s">
        <v>474</v>
      </c>
      <c r="G8" s="38" t="s">
        <v>384</v>
      </c>
      <c r="H8" s="38" t="s">
        <v>384</v>
      </c>
      <c r="I8" s="34" t="s">
        <v>476</v>
      </c>
      <c r="J8" s="34" t="s">
        <v>477</v>
      </c>
      <c r="K8" s="34" t="s">
        <v>478</v>
      </c>
      <c r="L8" s="32"/>
      <c r="M8" s="32"/>
    </row>
    <row r="9" spans="1:14" x14ac:dyDescent="0.2">
      <c r="A9" s="14">
        <v>9</v>
      </c>
      <c r="B9" s="35" t="s">
        <v>479</v>
      </c>
      <c r="C9" s="35" t="s">
        <v>56</v>
      </c>
      <c r="D9" s="35" t="s">
        <v>110</v>
      </c>
      <c r="E9" s="38" t="s">
        <v>109</v>
      </c>
      <c r="F9" s="38" t="s">
        <v>110</v>
      </c>
      <c r="G9" s="38" t="s">
        <v>109</v>
      </c>
      <c r="H9" s="38" t="s">
        <v>110</v>
      </c>
      <c r="I9" s="38" t="s">
        <v>480</v>
      </c>
      <c r="J9" s="38" t="s">
        <v>481</v>
      </c>
      <c r="K9" s="38" t="s">
        <v>482</v>
      </c>
      <c r="L9" s="38" t="s">
        <v>155</v>
      </c>
      <c r="M9" s="35" t="s">
        <v>483</v>
      </c>
    </row>
    <row r="10" spans="1:14" x14ac:dyDescent="0.2">
      <c r="A10" s="14">
        <v>10</v>
      </c>
      <c r="B10" s="703">
        <f>_FCC1</f>
        <v>42491</v>
      </c>
      <c r="C10" s="40">
        <f>(D10-B10)</f>
        <v>364</v>
      </c>
      <c r="D10" s="703">
        <f>B10+364</f>
        <v>42855</v>
      </c>
      <c r="E10" s="41">
        <f>IF(AND(FIPROY&gt;=B10,FIPROY&lt;=D10),1,0)</f>
        <v>0</v>
      </c>
      <c r="F10" s="41">
        <f>IF(AND(FFPROY&gt;=B10,FFPROY&lt;=D10),1,0)</f>
        <v>0</v>
      </c>
      <c r="G10" s="42" t="b">
        <f>IF(E10=1,FIPROY)</f>
        <v>0</v>
      </c>
      <c r="H10" s="42" t="b">
        <f>IF(F10=1,FFPROY)</f>
        <v>0</v>
      </c>
      <c r="I10" s="13">
        <f>IF(IF(E10=1,F10=0),(D10-G10),0)</f>
        <v>0</v>
      </c>
      <c r="J10" s="13">
        <f>IF(AND(E10=1,F10=1),(H10-G10),0)</f>
        <v>0</v>
      </c>
      <c r="K10" s="13">
        <f>IF(AND(F10=1,E10=0),(H10-B10),0)</f>
        <v>0</v>
      </c>
      <c r="L10" s="13">
        <f>SUM(I10:K10)</f>
        <v>0</v>
      </c>
      <c r="M10" s="43">
        <f>IF(L10=0,0,IF($L$14=$M$5,L10,(L10+($M$5-$L$14)/$M$6)))</f>
        <v>0</v>
      </c>
    </row>
    <row r="11" spans="1:14" x14ac:dyDescent="0.2">
      <c r="A11" s="14">
        <v>11</v>
      </c>
      <c r="B11" s="42">
        <f>_FCC2</f>
        <v>42856</v>
      </c>
      <c r="C11" s="45">
        <f>(D11-B11)</f>
        <v>364</v>
      </c>
      <c r="D11" s="703">
        <f>B11+364</f>
        <v>43220</v>
      </c>
      <c r="E11" s="41">
        <f>IF(AND(FIPROY&gt;=B11,FIPROY&lt;=D11),1,0)</f>
        <v>1</v>
      </c>
      <c r="F11" s="41">
        <f>IF(AND(FFPROY&gt;=B11,FFPROY&lt;=D11),1,0)</f>
        <v>0</v>
      </c>
      <c r="G11" s="42">
        <f>IF(E11=1,FIPROY)</f>
        <v>43010</v>
      </c>
      <c r="H11" s="42" t="b">
        <f>IF(F11=1,FFPROY)</f>
        <v>0</v>
      </c>
      <c r="I11" s="13">
        <f>IF(IF(E11=1,F11=0),(D11-G11),0)</f>
        <v>210</v>
      </c>
      <c r="J11" s="13">
        <f>IF(AND(E11=1,F11=1),(H11-G11),0)</f>
        <v>0</v>
      </c>
      <c r="K11" s="13">
        <f>IF(AND(F11=1,E11=0),(H11-B11),0)</f>
        <v>0</v>
      </c>
      <c r="L11" s="13">
        <f>SUM(I11:K11)</f>
        <v>210</v>
      </c>
      <c r="M11" s="43">
        <f>IF(L11=0,0,IF($L$14=$M$5,L11,(L11+($M$5-$L$14)/$M$6)))</f>
        <v>210.5</v>
      </c>
    </row>
    <row r="12" spans="1:14" x14ac:dyDescent="0.2">
      <c r="A12" s="14">
        <v>12</v>
      </c>
      <c r="B12" s="42">
        <f>_FCC3</f>
        <v>43221</v>
      </c>
      <c r="C12" s="45">
        <f>(D12-B12)</f>
        <v>364</v>
      </c>
      <c r="D12" s="703">
        <f>B12+364</f>
        <v>43585</v>
      </c>
      <c r="E12" s="41">
        <f>IF(AND(FIPROY&gt;=B12,FIPROY&lt;=D12),1,0)</f>
        <v>0</v>
      </c>
      <c r="F12" s="41">
        <f>IF(AND(FFPROY&gt;=B12,FFPROY&lt;=D12),1,0)</f>
        <v>1</v>
      </c>
      <c r="G12" s="42" t="b">
        <f>IF(E12=1,FIPROY)</f>
        <v>0</v>
      </c>
      <c r="H12" s="42">
        <f>IF(F12=1,FFPROY)</f>
        <v>43375</v>
      </c>
      <c r="I12" s="13">
        <f>IF(IF(E12=1,F12=0),(D12-G12),0)</f>
        <v>0</v>
      </c>
      <c r="J12" s="13">
        <f>IF(AND(E12=1,F12=1),(H12-G12),0)</f>
        <v>0</v>
      </c>
      <c r="K12" s="13">
        <f>IF(AND(F12=1,E12=0),(H12-B12),0)</f>
        <v>154</v>
      </c>
      <c r="L12" s="13">
        <f>SUM(I12:K12)</f>
        <v>154</v>
      </c>
      <c r="M12" s="43">
        <f>IF(L12=0,0,IF($L$14=$M$5,L12,(L12+($M$5-$L$14)/$M$6)))</f>
        <v>154.5</v>
      </c>
    </row>
    <row r="13" spans="1:14" x14ac:dyDescent="0.2">
      <c r="A13" s="14">
        <v>13</v>
      </c>
      <c r="B13" s="42">
        <f>_FCC3+365</f>
        <v>43586</v>
      </c>
      <c r="C13" s="45">
        <f>(D13-B13)</f>
        <v>364</v>
      </c>
      <c r="D13" s="703">
        <f>B13+364</f>
        <v>43950</v>
      </c>
      <c r="E13" s="41">
        <f>IF(AND(FIPROY&gt;=B13,FIPROY&lt;=D13),1,0)</f>
        <v>0</v>
      </c>
      <c r="F13" s="41">
        <f>IF(AND(FFPROY&gt;=B13,FFPROY&lt;=D13),1,0)</f>
        <v>0</v>
      </c>
      <c r="G13" s="42" t="b">
        <f>IF(E13=1,FIPROY)</f>
        <v>0</v>
      </c>
      <c r="H13" s="42" t="b">
        <f>IF(F13=1,FFPROY)</f>
        <v>0</v>
      </c>
      <c r="I13" s="13">
        <f>IF(IF(E13=1,F13=0),(D13-G13),0)</f>
        <v>0</v>
      </c>
      <c r="J13" s="13">
        <f>IF(AND(E13=1,F13=1),(H13-G13),0)</f>
        <v>0</v>
      </c>
      <c r="K13" s="13">
        <f>IF(AND(F13=1,E13=0),(H13-B13),0)</f>
        <v>0</v>
      </c>
      <c r="L13" s="13">
        <f>SUM(I13:K13)</f>
        <v>0</v>
      </c>
      <c r="M13" s="43">
        <f>IF(L13=0,0,IF($L$14=$M$5,L13,(L13+($M$5-$L$14)/$M$6)))</f>
        <v>0</v>
      </c>
    </row>
    <row r="14" spans="1:14" ht="12.75" x14ac:dyDescent="0.2">
      <c r="A14" s="14">
        <v>14</v>
      </c>
      <c r="B14" s="46"/>
      <c r="C14" s="46"/>
      <c r="D14" s="47"/>
      <c r="E14" s="46"/>
      <c r="F14" s="46"/>
      <c r="G14" s="46"/>
      <c r="H14" s="47"/>
      <c r="L14" s="14">
        <f>SUM(L10:L13)</f>
        <v>364</v>
      </c>
      <c r="M14" s="265">
        <f>SUM(M10:M13)</f>
        <v>365</v>
      </c>
    </row>
    <row r="15" spans="1:14" x14ac:dyDescent="0.2">
      <c r="A15" s="14">
        <v>15</v>
      </c>
    </row>
    <row r="16" spans="1:14" x14ac:dyDescent="0.2">
      <c r="A16" s="14">
        <v>16</v>
      </c>
      <c r="B16" s="419" t="s">
        <v>484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</row>
    <row r="17" spans="1:13" x14ac:dyDescent="0.2">
      <c r="A17" s="14">
        <v>17</v>
      </c>
    </row>
    <row r="18" spans="1:13" x14ac:dyDescent="0.2">
      <c r="A18" s="14">
        <v>18</v>
      </c>
      <c r="E18" s="18" t="s">
        <v>469</v>
      </c>
      <c r="F18" s="26">
        <f>FIPROY</f>
        <v>43010</v>
      </c>
      <c r="I18" s="18" t="s">
        <v>470</v>
      </c>
      <c r="J18" s="26">
        <f>FFPROY</f>
        <v>43375</v>
      </c>
      <c r="L18" s="18" t="s">
        <v>471</v>
      </c>
      <c r="M18" s="266">
        <f>(J18-F18)</f>
        <v>365</v>
      </c>
    </row>
    <row r="19" spans="1:13" x14ac:dyDescent="0.2">
      <c r="A19" s="14">
        <v>19</v>
      </c>
      <c r="L19" s="18" t="s">
        <v>472</v>
      </c>
      <c r="M19" s="14">
        <f>IF(L23&gt;0,1,0)+IF(L24&gt;0,1,0)+IF(L25&gt;0,1,0)+IF(L26&gt;0,1,0)</f>
        <v>2</v>
      </c>
    </row>
    <row r="20" spans="1:13" x14ac:dyDescent="0.2">
      <c r="A20" s="14">
        <v>20</v>
      </c>
      <c r="B20" s="763" t="s">
        <v>473</v>
      </c>
      <c r="C20" s="763"/>
      <c r="D20" s="763"/>
      <c r="E20" s="32"/>
      <c r="F20" s="32"/>
      <c r="G20" s="33" t="s">
        <v>474</v>
      </c>
      <c r="H20" s="33" t="s">
        <v>474</v>
      </c>
      <c r="I20" s="34" t="s">
        <v>23</v>
      </c>
      <c r="J20" s="34" t="s">
        <v>475</v>
      </c>
      <c r="K20" s="34" t="s">
        <v>23</v>
      </c>
      <c r="L20" s="32"/>
      <c r="M20" s="32"/>
    </row>
    <row r="21" spans="1:13" x14ac:dyDescent="0.2">
      <c r="A21" s="14">
        <v>21</v>
      </c>
      <c r="B21" s="35" t="s">
        <v>384</v>
      </c>
      <c r="C21" s="36"/>
      <c r="D21" s="35" t="s">
        <v>384</v>
      </c>
      <c r="E21" s="37" t="s">
        <v>474</v>
      </c>
      <c r="F21" s="37" t="s">
        <v>474</v>
      </c>
      <c r="G21" s="38" t="s">
        <v>384</v>
      </c>
      <c r="H21" s="38" t="s">
        <v>384</v>
      </c>
      <c r="I21" s="34" t="s">
        <v>476</v>
      </c>
      <c r="J21" s="34" t="s">
        <v>477</v>
      </c>
      <c r="K21" s="34" t="s">
        <v>478</v>
      </c>
      <c r="L21" s="32"/>
      <c r="M21" s="32"/>
    </row>
    <row r="22" spans="1:13" x14ac:dyDescent="0.2">
      <c r="A22" s="14">
        <v>22</v>
      </c>
      <c r="B22" s="35" t="s">
        <v>479</v>
      </c>
      <c r="C22" s="35" t="s">
        <v>56</v>
      </c>
      <c r="D22" s="35" t="s">
        <v>110</v>
      </c>
      <c r="E22" s="38" t="s">
        <v>109</v>
      </c>
      <c r="F22" s="38" t="s">
        <v>110</v>
      </c>
      <c r="G22" s="38" t="s">
        <v>109</v>
      </c>
      <c r="H22" s="38" t="s">
        <v>110</v>
      </c>
      <c r="I22" s="38" t="s">
        <v>480</v>
      </c>
      <c r="J22" s="38" t="s">
        <v>481</v>
      </c>
      <c r="K22" s="38" t="s">
        <v>482</v>
      </c>
      <c r="L22" s="38" t="s">
        <v>155</v>
      </c>
      <c r="M22" s="35" t="s">
        <v>483</v>
      </c>
    </row>
    <row r="23" spans="1:13" x14ac:dyDescent="0.2">
      <c r="A23" s="14">
        <v>23</v>
      </c>
      <c r="B23" s="703">
        <f>_FCC1</f>
        <v>42491</v>
      </c>
      <c r="C23" s="40">
        <f>(D23-B23)</f>
        <v>364</v>
      </c>
      <c r="D23" s="703">
        <f>B23+364</f>
        <v>42855</v>
      </c>
      <c r="E23" s="41">
        <f>IF(AND(FIPROY&gt;=B23,FIPROY&lt;=D23),1,0)</f>
        <v>0</v>
      </c>
      <c r="F23" s="41">
        <f>IF(AND(FFPROY&gt;=B23,FFPROY&lt;=D23),1,0)</f>
        <v>0</v>
      </c>
      <c r="G23" s="42" t="b">
        <f>IF(E23=1,FIPROY)</f>
        <v>0</v>
      </c>
      <c r="H23" s="42" t="b">
        <f>IF(F23=1,FFPROY)</f>
        <v>0</v>
      </c>
      <c r="I23" s="13">
        <f>IF(IF(E23=1,F23=0),(D23-G23),0)</f>
        <v>0</v>
      </c>
      <c r="J23" s="13">
        <f>IF(AND(E23=1,F23=1),(H23-G23),0)</f>
        <v>0</v>
      </c>
      <c r="K23" s="13">
        <f>IF(AND(F23=1,E23=0),(H23-B23),0)</f>
        <v>0</v>
      </c>
      <c r="L23" s="13">
        <f>SUM(I23:K23)</f>
        <v>0</v>
      </c>
      <c r="M23" s="43">
        <f>IF(L23=0,0,IF($L$27=$M$18,L23,(L23+($M$18-$L$27)/$M$19)))</f>
        <v>0</v>
      </c>
    </row>
    <row r="24" spans="1:13" x14ac:dyDescent="0.2">
      <c r="A24" s="14">
        <v>24</v>
      </c>
      <c r="B24" s="42">
        <f>_FCC2</f>
        <v>42856</v>
      </c>
      <c r="C24" s="45">
        <f>(D24-B24)</f>
        <v>364</v>
      </c>
      <c r="D24" s="703">
        <f>B24+364</f>
        <v>43220</v>
      </c>
      <c r="E24" s="41">
        <f>IF(AND(FIPROY&gt;=B24,FIPROY&lt;=D24),1,0)</f>
        <v>1</v>
      </c>
      <c r="F24" s="41">
        <f>IF(AND(FFPROY&gt;=B24,FFPROY&lt;=D24),1,0)</f>
        <v>0</v>
      </c>
      <c r="G24" s="42">
        <f>IF(E24=1,FIPROY)</f>
        <v>43010</v>
      </c>
      <c r="H24" s="42" t="b">
        <f>IF(F24=1,FFPROY)</f>
        <v>0</v>
      </c>
      <c r="I24" s="13">
        <f>IF(IF(E24=1,F24=0),(D24-G24),0)</f>
        <v>210</v>
      </c>
      <c r="J24" s="13">
        <f>IF(AND(E24=1,F24=1),(H24-G24),0)</f>
        <v>0</v>
      </c>
      <c r="K24" s="13">
        <f>IF(AND(F24=1,E24=0),(H24-B24),0)</f>
        <v>0</v>
      </c>
      <c r="L24" s="13">
        <f>SUM(I24:K24)</f>
        <v>210</v>
      </c>
      <c r="M24" s="43">
        <f>IF(L24=0,0,IF($L$27=$M$18,L24,(L24+($M$18-$L$27)/$M$19)))</f>
        <v>210.5</v>
      </c>
    </row>
    <row r="25" spans="1:13" x14ac:dyDescent="0.2">
      <c r="A25" s="14">
        <v>25</v>
      </c>
      <c r="B25" s="42">
        <f>_FCC3</f>
        <v>43221</v>
      </c>
      <c r="C25" s="45">
        <f>(D25-B25)</f>
        <v>364</v>
      </c>
      <c r="D25" s="703">
        <f>B25+364</f>
        <v>43585</v>
      </c>
      <c r="E25" s="41">
        <f>IF(AND(FIPROY&gt;=B25,FIPROY&lt;=D25),1,0)</f>
        <v>0</v>
      </c>
      <c r="F25" s="41">
        <f>IF(AND(FFPROY&gt;=B25,FFPROY&lt;=D25),1,0)</f>
        <v>1</v>
      </c>
      <c r="G25" s="42" t="b">
        <f>IF(E25=1,FIPROY)</f>
        <v>0</v>
      </c>
      <c r="H25" s="42">
        <f>IF(F25=1,FFPROY)</f>
        <v>43375</v>
      </c>
      <c r="I25" s="13">
        <f>IF(IF(E25=1,F25=0),(D25-G25),0)</f>
        <v>0</v>
      </c>
      <c r="J25" s="13">
        <f>IF(AND(E25=1,F25=1),(H25-G25),0)</f>
        <v>0</v>
      </c>
      <c r="K25" s="13">
        <f>IF(AND(F25=1,E25=0),(H25-B25),0)</f>
        <v>154</v>
      </c>
      <c r="L25" s="13">
        <f>SUM(I25:K25)</f>
        <v>154</v>
      </c>
      <c r="M25" s="43">
        <f>IF(L25=0,0,IF($L$27=$M$18,L25,(L25+($M$18-$L$27)/$M$19)))</f>
        <v>154.5</v>
      </c>
    </row>
    <row r="26" spans="1:13" x14ac:dyDescent="0.2">
      <c r="A26" s="14">
        <v>26</v>
      </c>
      <c r="B26" s="42">
        <f>_FCC3+365</f>
        <v>43586</v>
      </c>
      <c r="C26" s="45">
        <f>(D26-B26)</f>
        <v>364</v>
      </c>
      <c r="D26" s="703">
        <f>B26+364</f>
        <v>43950</v>
      </c>
      <c r="E26" s="41">
        <f>IF(AND(FIPROY&gt;=B26,FIPROY&lt;=D26),1,0)</f>
        <v>0</v>
      </c>
      <c r="F26" s="41">
        <f>IF(AND(FFPROY&gt;=B26,FFPROY&lt;=D26),1,0)</f>
        <v>0</v>
      </c>
      <c r="G26" s="42" t="b">
        <f>IF(E26=1,FIPROY)</f>
        <v>0</v>
      </c>
      <c r="H26" s="42" t="b">
        <f>IF(F26=1,FFPROY)</f>
        <v>0</v>
      </c>
      <c r="I26" s="13">
        <f>IF(IF(E26=1,F26=0),(D26-G26),0)</f>
        <v>0</v>
      </c>
      <c r="J26" s="13">
        <f>IF(AND(E26=1,F26=1),(H26-G26),0)</f>
        <v>0</v>
      </c>
      <c r="K26" s="13">
        <f>IF(AND(F26=1,E26=0),(H26-B26),0)</f>
        <v>0</v>
      </c>
      <c r="L26" s="13">
        <f>SUM(I26:K26)</f>
        <v>0</v>
      </c>
      <c r="M26" s="43">
        <f>IF(L26=0,0,IF($L$27=$M$18,L26,(L26+($M$18-$L$27)/$M$19)))</f>
        <v>0</v>
      </c>
    </row>
    <row r="27" spans="1:13" ht="12.75" x14ac:dyDescent="0.2">
      <c r="A27" s="14">
        <v>27</v>
      </c>
      <c r="B27" s="46"/>
      <c r="C27" s="46"/>
      <c r="D27" s="47"/>
      <c r="E27" s="46"/>
      <c r="F27" s="46"/>
      <c r="G27" s="46"/>
      <c r="H27" s="47"/>
      <c r="L27" s="14">
        <f>SUM(L23:L26)</f>
        <v>364</v>
      </c>
      <c r="M27" s="267">
        <f>SUM(M23:M26)</f>
        <v>365</v>
      </c>
    </row>
    <row r="28" spans="1:13" x14ac:dyDescent="0.2">
      <c r="A28" s="14">
        <v>28</v>
      </c>
    </row>
    <row r="29" spans="1:13" x14ac:dyDescent="0.2">
      <c r="A29" s="14">
        <v>29</v>
      </c>
      <c r="D29" s="31"/>
      <c r="E29" s="31"/>
      <c r="F29" s="31" t="s">
        <v>56</v>
      </c>
      <c r="G29" s="31"/>
      <c r="H29" s="31"/>
      <c r="I29" s="31"/>
      <c r="J29" s="31"/>
      <c r="K29" s="31"/>
    </row>
    <row r="30" spans="1:13" x14ac:dyDescent="0.2">
      <c r="A30" s="14">
        <v>30</v>
      </c>
      <c r="D30" s="31" t="s">
        <v>485</v>
      </c>
      <c r="E30" s="31" t="s">
        <v>486</v>
      </c>
      <c r="F30" s="31" t="s">
        <v>486</v>
      </c>
      <c r="G30" s="31" t="s">
        <v>54</v>
      </c>
      <c r="H30" s="31" t="s">
        <v>55</v>
      </c>
      <c r="I30" s="31" t="s">
        <v>487</v>
      </c>
      <c r="J30" s="31" t="s">
        <v>488</v>
      </c>
      <c r="K30" s="31" t="s">
        <v>489</v>
      </c>
    </row>
    <row r="31" spans="1:13" x14ac:dyDescent="0.2">
      <c r="A31" s="14">
        <v>31</v>
      </c>
      <c r="D31" s="170">
        <v>1</v>
      </c>
      <c r="E31" s="170">
        <f>YEAR(_FCC1)</f>
        <v>2016</v>
      </c>
      <c r="F31" s="409">
        <f>CALENDARIOS!AI430</f>
        <v>366</v>
      </c>
      <c r="G31" s="409">
        <f>ROUND((F31/30),0)</f>
        <v>12</v>
      </c>
      <c r="H31" s="409">
        <f>ROUND((F31/7),0)</f>
        <v>52</v>
      </c>
      <c r="I31" s="409">
        <f>CALENDARIOS!AI429</f>
        <v>52</v>
      </c>
      <c r="J31" s="409">
        <f>CALENDARIOS!AI428</f>
        <v>53</v>
      </c>
      <c r="K31" s="409">
        <f>FERIADOS!G179</f>
        <v>12</v>
      </c>
    </row>
    <row r="32" spans="1:13" x14ac:dyDescent="0.2">
      <c r="A32" s="14">
        <v>32</v>
      </c>
      <c r="D32" s="13">
        <v>2</v>
      </c>
      <c r="E32" s="13">
        <f>YEAR(_FCC2)</f>
        <v>2017</v>
      </c>
      <c r="F32" s="409">
        <f>CALENDARIOS!AI473</f>
        <v>365</v>
      </c>
      <c r="G32" s="409">
        <f>ROUND((F32/30),0)</f>
        <v>12</v>
      </c>
      <c r="H32" s="409">
        <f>ROUND((F32/7),0)</f>
        <v>52</v>
      </c>
      <c r="I32" s="409">
        <f>CALENDARIOS!AI472</f>
        <v>52</v>
      </c>
      <c r="J32" s="409">
        <f>CALENDARIOS!AI471</f>
        <v>53</v>
      </c>
      <c r="K32" s="409">
        <f>FERIADOS!G199</f>
        <v>10</v>
      </c>
    </row>
    <row r="33" spans="1:14" x14ac:dyDescent="0.2">
      <c r="A33" s="14">
        <v>33</v>
      </c>
      <c r="D33" s="13">
        <v>3</v>
      </c>
      <c r="E33" s="13">
        <f>YEAR(_FCC3)</f>
        <v>2018</v>
      </c>
      <c r="F33" s="409">
        <f>CALENDARIOS!AI516</f>
        <v>365</v>
      </c>
      <c r="G33" s="409">
        <f>ROUND((F33/30),0)</f>
        <v>12</v>
      </c>
      <c r="H33" s="409">
        <f>ROUND((F33/7),0)</f>
        <v>52</v>
      </c>
      <c r="I33" s="409">
        <f>CALENDARIOS!AI515</f>
        <v>52</v>
      </c>
      <c r="J33" s="409">
        <f>CALENDARIOS!AI514</f>
        <v>52</v>
      </c>
      <c r="K33" s="409">
        <f>FERIADOS!G219</f>
        <v>13</v>
      </c>
    </row>
    <row r="34" spans="1:14" x14ac:dyDescent="0.2">
      <c r="A34" s="14">
        <v>34</v>
      </c>
      <c r="D34" s="13">
        <v>4</v>
      </c>
      <c r="E34" s="13">
        <f>YEAR(_FCC3)+1</f>
        <v>2019</v>
      </c>
      <c r="F34" s="409">
        <f>CALENDARIOS!AI559</f>
        <v>365</v>
      </c>
      <c r="G34" s="409">
        <f>ROUND((F34/30),0)</f>
        <v>12</v>
      </c>
      <c r="H34" s="409">
        <f>ROUND((F34/7),0)</f>
        <v>52</v>
      </c>
      <c r="I34" s="409">
        <f>CALENDARIOS!AI558</f>
        <v>52</v>
      </c>
      <c r="J34" s="409">
        <f>CALENDARIOS!AI557</f>
        <v>52</v>
      </c>
      <c r="K34" s="409">
        <f>FERIADOS!G239</f>
        <v>13</v>
      </c>
    </row>
    <row r="35" spans="1:14" x14ac:dyDescent="0.2">
      <c r="A35" s="14">
        <v>35</v>
      </c>
    </row>
    <row r="36" spans="1:14" x14ac:dyDescent="0.2">
      <c r="A36" s="14">
        <v>36</v>
      </c>
      <c r="E36" s="306" t="s">
        <v>490</v>
      </c>
      <c r="F36" s="410">
        <f>M23</f>
        <v>0</v>
      </c>
      <c r="G36" s="410">
        <f>M24</f>
        <v>210.5</v>
      </c>
      <c r="H36" s="410">
        <f>M25</f>
        <v>154.5</v>
      </c>
      <c r="I36" s="410">
        <f>M26</f>
        <v>0</v>
      </c>
    </row>
    <row r="37" spans="1:14" x14ac:dyDescent="0.2">
      <c r="A37" s="14">
        <v>37</v>
      </c>
    </row>
    <row r="38" spans="1:14" x14ac:dyDescent="0.2">
      <c r="A38" s="14">
        <v>38</v>
      </c>
      <c r="D38" s="764" t="s">
        <v>51</v>
      </c>
      <c r="E38" s="765"/>
      <c r="F38" s="765"/>
      <c r="G38" s="765"/>
      <c r="H38" s="765"/>
      <c r="I38" s="766"/>
      <c r="J38" s="163"/>
    </row>
    <row r="39" spans="1:14" x14ac:dyDescent="0.2">
      <c r="A39" s="14">
        <v>39</v>
      </c>
      <c r="D39" s="763" t="s">
        <v>75</v>
      </c>
      <c r="E39" s="763"/>
      <c r="F39" s="162">
        <f>YEAR(_FCC1)</f>
        <v>2016</v>
      </c>
      <c r="G39" s="162">
        <f>YEAR(_FCC2)</f>
        <v>2017</v>
      </c>
      <c r="H39" s="162">
        <f>YEAR(_FCC3)</f>
        <v>2018</v>
      </c>
      <c r="I39" s="162">
        <f>YEAR(_FCC3)+1</f>
        <v>2019</v>
      </c>
      <c r="J39" s="164" t="s">
        <v>155</v>
      </c>
    </row>
    <row r="40" spans="1:14" x14ac:dyDescent="0.2">
      <c r="A40" s="14">
        <v>40</v>
      </c>
      <c r="D40" s="411"/>
      <c r="E40" s="412" t="s">
        <v>491</v>
      </c>
      <c r="F40" s="409">
        <f>(F36)</f>
        <v>0</v>
      </c>
      <c r="G40" s="409">
        <f>(G36)</f>
        <v>210.5</v>
      </c>
      <c r="H40" s="409">
        <f>(H36)</f>
        <v>154.5</v>
      </c>
      <c r="I40" s="409">
        <f>(I36)</f>
        <v>0</v>
      </c>
      <c r="J40" s="409">
        <f t="shared" ref="J40:J45" si="0">SUM(F40:I40)</f>
        <v>365</v>
      </c>
    </row>
    <row r="41" spans="1:14" x14ac:dyDescent="0.2">
      <c r="A41" s="14">
        <v>41</v>
      </c>
      <c r="D41" s="411"/>
      <c r="E41" s="412" t="s">
        <v>492</v>
      </c>
      <c r="F41" s="409">
        <f>ROUND((F40/30),0)</f>
        <v>0</v>
      </c>
      <c r="G41" s="409">
        <f>ROUND((G40/30),0)</f>
        <v>7</v>
      </c>
      <c r="H41" s="409">
        <f>ROUND((H40/30),0)</f>
        <v>5</v>
      </c>
      <c r="I41" s="409">
        <f>ROUND((I40/30),0)</f>
        <v>0</v>
      </c>
      <c r="J41" s="409">
        <f t="shared" si="0"/>
        <v>12</v>
      </c>
    </row>
    <row r="42" spans="1:14" x14ac:dyDescent="0.2">
      <c r="A42" s="14">
        <v>42</v>
      </c>
      <c r="D42" s="411"/>
      <c r="E42" s="412" t="s">
        <v>493</v>
      </c>
      <c r="F42" s="409">
        <f>ROUND((F40/7),0)</f>
        <v>0</v>
      </c>
      <c r="G42" s="409">
        <f>ROUND((G40/7),0)</f>
        <v>30</v>
      </c>
      <c r="H42" s="409">
        <f>ROUND((H40/7),0)</f>
        <v>22</v>
      </c>
      <c r="I42" s="409">
        <f>ROUND((I40/7),0)</f>
        <v>0</v>
      </c>
      <c r="J42" s="409">
        <f t="shared" si="0"/>
        <v>52</v>
      </c>
      <c r="N42" s="4"/>
    </row>
    <row r="43" spans="1:14" x14ac:dyDescent="0.2">
      <c r="A43" s="14">
        <v>43</v>
      </c>
      <c r="D43" s="411"/>
      <c r="E43" s="412" t="s">
        <v>494</v>
      </c>
      <c r="F43" s="409">
        <f>(I31/F31)*F36</f>
        <v>0</v>
      </c>
      <c r="G43" s="409">
        <f>(I32/F32)*G36</f>
        <v>30</v>
      </c>
      <c r="H43" s="409">
        <f>(I33/F33)*H36</f>
        <v>22</v>
      </c>
      <c r="I43" s="409">
        <f>(I34/F34)*I36</f>
        <v>0</v>
      </c>
      <c r="J43" s="409">
        <f t="shared" si="0"/>
        <v>52</v>
      </c>
      <c r="N43" s="4"/>
    </row>
    <row r="44" spans="1:14" x14ac:dyDescent="0.2">
      <c r="A44" s="14">
        <v>44</v>
      </c>
      <c r="D44" s="411"/>
      <c r="E44" s="412" t="s">
        <v>495</v>
      </c>
      <c r="F44" s="409">
        <f>(J31/F31)*F36</f>
        <v>0</v>
      </c>
      <c r="G44" s="409">
        <f>(J32/F32)*G36</f>
        <v>30.6</v>
      </c>
      <c r="H44" s="409">
        <f>(J33/F33)*H36</f>
        <v>22</v>
      </c>
      <c r="I44" s="409">
        <f>(J34/F34)*I36</f>
        <v>0</v>
      </c>
      <c r="J44" s="409">
        <f t="shared" si="0"/>
        <v>52.6</v>
      </c>
    </row>
    <row r="45" spans="1:14" x14ac:dyDescent="0.2">
      <c r="A45" s="14">
        <v>45</v>
      </c>
      <c r="D45" s="411"/>
      <c r="E45" s="412" t="s">
        <v>496</v>
      </c>
      <c r="F45" s="409">
        <f>(K31/F31)*F36</f>
        <v>0</v>
      </c>
      <c r="G45" s="409">
        <f>(K32/F32)*G36</f>
        <v>5.8</v>
      </c>
      <c r="H45" s="409">
        <f>(K33/F33)*H36</f>
        <v>5.5</v>
      </c>
      <c r="I45" s="409">
        <f>(K34/F34)*I36</f>
        <v>0</v>
      </c>
      <c r="J45" s="409">
        <f t="shared" si="0"/>
        <v>11.3</v>
      </c>
    </row>
    <row r="46" spans="1:14" x14ac:dyDescent="0.2">
      <c r="A46" s="14">
        <v>46</v>
      </c>
    </row>
    <row r="47" spans="1:14" x14ac:dyDescent="0.2">
      <c r="A47" s="14">
        <v>47</v>
      </c>
    </row>
    <row r="48" spans="1:14" x14ac:dyDescent="0.2">
      <c r="A48" s="14">
        <v>48</v>
      </c>
      <c r="B48" s="260" t="s">
        <v>497</v>
      </c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</row>
    <row r="49" spans="1:13" x14ac:dyDescent="0.2">
      <c r="A49" s="14">
        <v>49</v>
      </c>
    </row>
    <row r="50" spans="1:13" x14ac:dyDescent="0.2">
      <c r="A50" s="14">
        <v>50</v>
      </c>
      <c r="E50" s="18" t="s">
        <v>469</v>
      </c>
      <c r="F50" s="26">
        <f>FIPROY</f>
        <v>43010</v>
      </c>
      <c r="I50" s="18" t="s">
        <v>470</v>
      </c>
      <c r="J50" s="26">
        <f>FFPROY</f>
        <v>43375</v>
      </c>
      <c r="L50" s="18"/>
      <c r="M50" s="14"/>
    </row>
    <row r="51" spans="1:13" x14ac:dyDescent="0.2">
      <c r="A51" s="14">
        <v>51</v>
      </c>
      <c r="L51" s="18"/>
      <c r="M51" s="14"/>
    </row>
    <row r="52" spans="1:13" ht="12.75" x14ac:dyDescent="0.2">
      <c r="A52" s="14">
        <v>52</v>
      </c>
      <c r="B52" s="46"/>
      <c r="C52" s="46"/>
      <c r="D52" s="47"/>
      <c r="E52" s="46"/>
      <c r="F52" s="186"/>
      <c r="G52" s="186" t="s">
        <v>498</v>
      </c>
      <c r="H52" s="186"/>
      <c r="I52" s="186" t="s">
        <v>499</v>
      </c>
      <c r="L52" s="14"/>
      <c r="M52" s="48"/>
    </row>
    <row r="53" spans="1:13" x14ac:dyDescent="0.2">
      <c r="A53" s="14">
        <v>53</v>
      </c>
      <c r="F53" s="186" t="s">
        <v>500</v>
      </c>
      <c r="G53" s="186" t="s">
        <v>56</v>
      </c>
      <c r="H53" s="186" t="s">
        <v>474</v>
      </c>
      <c r="I53" s="186" t="s">
        <v>498</v>
      </c>
    </row>
    <row r="54" spans="1:13" x14ac:dyDescent="0.2">
      <c r="A54" s="14">
        <v>54</v>
      </c>
      <c r="F54" s="22">
        <f>DATE(YEAR(_FCC1),9,15)</f>
        <v>42628</v>
      </c>
      <c r="G54" s="732" t="s">
        <v>449</v>
      </c>
      <c r="H54" s="710">
        <f>IF(AND($F$50&lt;F54,F54&lt;$J$50),1,0)</f>
        <v>0</v>
      </c>
      <c r="I54" s="709">
        <f>IF(H54=0,0,G54)</f>
        <v>0</v>
      </c>
    </row>
    <row r="55" spans="1:13" x14ac:dyDescent="0.2">
      <c r="A55" s="14">
        <v>55</v>
      </c>
      <c r="F55" s="22">
        <f>DATE(YEAR(_FCC2),9,15)</f>
        <v>42993</v>
      </c>
      <c r="G55" s="732" t="s">
        <v>449</v>
      </c>
      <c r="H55" s="710">
        <f>IF(AND($F$50&lt;F55,F55&lt;$J$50),1,0)</f>
        <v>0</v>
      </c>
      <c r="I55" s="709">
        <f>IF(H55=0,0,G55)</f>
        <v>0</v>
      </c>
      <c r="J55" s="249"/>
    </row>
    <row r="56" spans="1:13" x14ac:dyDescent="0.2">
      <c r="A56" s="14">
        <v>56</v>
      </c>
      <c r="F56" s="22">
        <f>DATE(YEAR(_FCC3),9,15)</f>
        <v>43358</v>
      </c>
      <c r="G56" s="732" t="s">
        <v>449</v>
      </c>
      <c r="H56" s="710">
        <f>IF(AND($F$50&lt;F56,F56&lt;$J$50),1,0)</f>
        <v>1</v>
      </c>
      <c r="I56" s="709" t="str">
        <f>IF(H56=0,0,G56)</f>
        <v>35</v>
      </c>
      <c r="J56" s="249"/>
    </row>
    <row r="57" spans="1:13" x14ac:dyDescent="0.2">
      <c r="A57" s="14">
        <v>57</v>
      </c>
      <c r="F57" s="22">
        <f>DATE(YEAR(_FCC3)+1,9,15)</f>
        <v>43723</v>
      </c>
      <c r="G57" s="732" t="s">
        <v>449</v>
      </c>
      <c r="H57" s="710">
        <f>IF(AND($F$50&lt;F57,F57&lt;$J$50),1,0)</f>
        <v>0</v>
      </c>
      <c r="I57" s="709">
        <f>IF(H57=0,0,G57)</f>
        <v>0</v>
      </c>
      <c r="J57" s="249"/>
    </row>
    <row r="58" spans="1:13" x14ac:dyDescent="0.2">
      <c r="A58" s="14">
        <v>58</v>
      </c>
      <c r="F58" s="258"/>
      <c r="H58" s="18" t="s">
        <v>36</v>
      </c>
      <c r="I58" s="259">
        <f>I54+I55+I56+I57</f>
        <v>35</v>
      </c>
      <c r="J58" s="252"/>
    </row>
    <row r="59" spans="1:13" x14ac:dyDescent="0.2">
      <c r="A59" s="14">
        <v>59</v>
      </c>
    </row>
    <row r="60" spans="1:13" x14ac:dyDescent="0.2">
      <c r="A60" s="14">
        <v>60</v>
      </c>
      <c r="B60" s="260" t="s">
        <v>501</v>
      </c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</row>
    <row r="61" spans="1:13" x14ac:dyDescent="0.2">
      <c r="A61" s="14">
        <v>61</v>
      </c>
    </row>
    <row r="62" spans="1:13" x14ac:dyDescent="0.2">
      <c r="A62" s="14">
        <v>62</v>
      </c>
      <c r="E62" s="18" t="s">
        <v>469</v>
      </c>
      <c r="F62" s="26">
        <f>FIPROY</f>
        <v>43010</v>
      </c>
      <c r="I62" s="18" t="s">
        <v>470</v>
      </c>
      <c r="J62" s="26">
        <f>FFPROY</f>
        <v>43375</v>
      </c>
      <c r="L62" s="18" t="s">
        <v>471</v>
      </c>
      <c r="M62" s="266">
        <f>(J62-F62)</f>
        <v>365</v>
      </c>
    </row>
    <row r="63" spans="1:13" x14ac:dyDescent="0.2">
      <c r="A63" s="14">
        <v>63</v>
      </c>
      <c r="L63" s="18" t="s">
        <v>472</v>
      </c>
      <c r="M63" s="14">
        <f>IF(L67&gt;0,1,0)+IF(L68&gt;0,1,0)+IF(L69&gt;0,1,0)</f>
        <v>2</v>
      </c>
    </row>
    <row r="64" spans="1:13" x14ac:dyDescent="0.2">
      <c r="A64" s="14">
        <v>64</v>
      </c>
      <c r="B64" s="763" t="s">
        <v>473</v>
      </c>
      <c r="C64" s="763"/>
      <c r="D64" s="763"/>
      <c r="E64" s="32"/>
      <c r="F64" s="32"/>
      <c r="G64" s="33" t="s">
        <v>474</v>
      </c>
      <c r="H64" s="33" t="s">
        <v>474</v>
      </c>
      <c r="I64" s="34" t="s">
        <v>23</v>
      </c>
      <c r="J64" s="34" t="s">
        <v>475</v>
      </c>
      <c r="K64" s="34" t="s">
        <v>23</v>
      </c>
      <c r="L64" s="32"/>
      <c r="M64" s="32"/>
    </row>
    <row r="65" spans="1:13" x14ac:dyDescent="0.2">
      <c r="A65" s="14">
        <v>65</v>
      </c>
      <c r="B65" s="35" t="s">
        <v>384</v>
      </c>
      <c r="C65" s="36"/>
      <c r="D65" s="35" t="s">
        <v>384</v>
      </c>
      <c r="E65" s="37" t="s">
        <v>474</v>
      </c>
      <c r="F65" s="37" t="s">
        <v>474</v>
      </c>
      <c r="G65" s="38" t="s">
        <v>384</v>
      </c>
      <c r="H65" s="38" t="s">
        <v>384</v>
      </c>
      <c r="I65" s="34" t="s">
        <v>476</v>
      </c>
      <c r="J65" s="34" t="s">
        <v>477</v>
      </c>
      <c r="K65" s="34" t="s">
        <v>478</v>
      </c>
      <c r="L65" s="32"/>
      <c r="M65" s="32"/>
    </row>
    <row r="66" spans="1:13" x14ac:dyDescent="0.2">
      <c r="A66" s="14">
        <v>66</v>
      </c>
      <c r="B66" s="35" t="s">
        <v>479</v>
      </c>
      <c r="C66" s="35" t="s">
        <v>56</v>
      </c>
      <c r="D66" s="35" t="s">
        <v>110</v>
      </c>
      <c r="E66" s="38" t="s">
        <v>109</v>
      </c>
      <c r="F66" s="38" t="s">
        <v>110</v>
      </c>
      <c r="G66" s="38" t="s">
        <v>109</v>
      </c>
      <c r="H66" s="38" t="s">
        <v>110</v>
      </c>
      <c r="I66" s="38" t="s">
        <v>480</v>
      </c>
      <c r="J66" s="38" t="s">
        <v>481</v>
      </c>
      <c r="K66" s="38" t="s">
        <v>482</v>
      </c>
      <c r="L66" s="38" t="s">
        <v>155</v>
      </c>
      <c r="M66" s="38" t="s">
        <v>502</v>
      </c>
    </row>
    <row r="67" spans="1:13" x14ac:dyDescent="0.2">
      <c r="A67" s="14">
        <v>67</v>
      </c>
      <c r="B67" s="703">
        <f>_FCC1</f>
        <v>42491</v>
      </c>
      <c r="C67" s="40">
        <f>(D67-B67)</f>
        <v>364</v>
      </c>
      <c r="D67" s="703">
        <f>B67+364</f>
        <v>42855</v>
      </c>
      <c r="E67" s="41">
        <f>IF(AND(FIPROY&gt;=B67,FIPROY&lt;=D67),1,0)</f>
        <v>0</v>
      </c>
      <c r="F67" s="41">
        <f>IF(AND(FFPROY&gt;=B67,FFPROY&lt;=D67),1,0)</f>
        <v>0</v>
      </c>
      <c r="G67" s="42" t="b">
        <f>IF(E67=1,FIPROY)</f>
        <v>0</v>
      </c>
      <c r="H67" s="42" t="b">
        <f>IF(F67=1,FFPROY)</f>
        <v>0</v>
      </c>
      <c r="I67" s="13">
        <f>IF(IF(E67=1,F67=0),(D67-G67),0)</f>
        <v>0</v>
      </c>
      <c r="J67" s="13">
        <f>IF(AND(E67=1,F67=1),(H67-G67),0)</f>
        <v>0</v>
      </c>
      <c r="K67" s="13">
        <f>IF(AND(F67=1,E67=0),(H67-B67),0)</f>
        <v>0</v>
      </c>
      <c r="L67" s="13">
        <f>SUM(I67:K67)</f>
        <v>0</v>
      </c>
      <c r="M67" s="43">
        <f>IF(L67=0,0,IF($L$70=$M$62,L67,(L67+($M$62-$L$70)/$M$63)))</f>
        <v>0</v>
      </c>
    </row>
    <row r="68" spans="1:13" x14ac:dyDescent="0.2">
      <c r="A68" s="14">
        <v>68</v>
      </c>
      <c r="B68" s="42">
        <f>_FCC2</f>
        <v>42856</v>
      </c>
      <c r="C68" s="45">
        <f>(D68-B68)</f>
        <v>364</v>
      </c>
      <c r="D68" s="703">
        <f>B68+364</f>
        <v>43220</v>
      </c>
      <c r="E68" s="41">
        <f>IF(AND(FIPROY&gt;=B68,FIPROY&lt;=D68),1,0)</f>
        <v>1</v>
      </c>
      <c r="F68" s="41">
        <f>IF(AND(FFPROY&gt;=B68,FFPROY&lt;=D68),1,0)</f>
        <v>0</v>
      </c>
      <c r="G68" s="42">
        <f>IF(E68=1,FIPROY)</f>
        <v>43010</v>
      </c>
      <c r="H68" s="42" t="b">
        <f>IF(F68=1,FFPROY)</f>
        <v>0</v>
      </c>
      <c r="I68" s="13">
        <f>IF(IF(E68=1,F68=0),(D68-G68),0)</f>
        <v>210</v>
      </c>
      <c r="J68" s="13">
        <f>IF(AND(E68=1,F68=1),(H68-G68),0)</f>
        <v>0</v>
      </c>
      <c r="K68" s="13">
        <f>IF(AND(F68=1,E68=0),(H68-B68),0)</f>
        <v>0</v>
      </c>
      <c r="L68" s="13">
        <f>SUM(I68:K68)</f>
        <v>210</v>
      </c>
      <c r="M68" s="43">
        <f>IF(L68=0,0,IF($L$70=$M$62,L68,(L68+($M$62-$L$70)/$M$63)))</f>
        <v>210.5</v>
      </c>
    </row>
    <row r="69" spans="1:13" x14ac:dyDescent="0.2">
      <c r="A69" s="14">
        <v>69</v>
      </c>
      <c r="B69" s="42">
        <f>_FCC3</f>
        <v>43221</v>
      </c>
      <c r="C69" s="45">
        <f>(D69-B69)</f>
        <v>364</v>
      </c>
      <c r="D69" s="703">
        <f>B69+364</f>
        <v>43585</v>
      </c>
      <c r="E69" s="41">
        <f>IF(AND(FIPROY&gt;=B69,FIPROY&lt;=D69),1,0)</f>
        <v>0</v>
      </c>
      <c r="F69" s="41">
        <f>IF(AND(FFPROY&gt;=B69,FFPROY&lt;=D69),1,0)</f>
        <v>1</v>
      </c>
      <c r="G69" s="42" t="b">
        <f>IF(E69=1,FIPROY)</f>
        <v>0</v>
      </c>
      <c r="H69" s="42">
        <f>IF(F69=1,FFPROY)</f>
        <v>43375</v>
      </c>
      <c r="I69" s="13">
        <f>IF(IF(E69=1,F69=0),(D69-G69),0)</f>
        <v>0</v>
      </c>
      <c r="J69" s="13">
        <f>IF(AND(E69=1,F69=1),(H69-G69),0)</f>
        <v>0</v>
      </c>
      <c r="K69" s="13">
        <f>IF(AND(F69=1,E69=0),(H69-B69),0)</f>
        <v>154</v>
      </c>
      <c r="L69" s="13">
        <f>SUM(I69:K69)</f>
        <v>154</v>
      </c>
      <c r="M69" s="43">
        <f>IF(L69=0,0,IF($L$70=$M$62,L69,(L69+($M$62-$L$70)/$M$63)))</f>
        <v>154.5</v>
      </c>
    </row>
    <row r="70" spans="1:13" ht="12.75" x14ac:dyDescent="0.2">
      <c r="A70" s="14">
        <v>70</v>
      </c>
      <c r="B70" s="46"/>
      <c r="C70" s="46"/>
      <c r="D70" s="47"/>
      <c r="E70" s="46"/>
      <c r="F70" s="46"/>
      <c r="G70" s="46"/>
      <c r="H70" s="47"/>
      <c r="L70" s="14">
        <f>SUM(L67:L69)</f>
        <v>364</v>
      </c>
      <c r="M70" s="267">
        <f>SUM(M67:M69)</f>
        <v>365</v>
      </c>
    </row>
    <row r="71" spans="1:13" x14ac:dyDescent="0.2">
      <c r="A71" s="14">
        <v>71</v>
      </c>
      <c r="B71" t="s">
        <v>503</v>
      </c>
      <c r="H71" t="s">
        <v>504</v>
      </c>
    </row>
    <row r="72" spans="1:13" x14ac:dyDescent="0.2">
      <c r="A72" s="14">
        <v>72</v>
      </c>
      <c r="B72" s="186"/>
      <c r="C72" s="186" t="s">
        <v>498</v>
      </c>
      <c r="D72" s="186" t="s">
        <v>23</v>
      </c>
      <c r="E72" s="186" t="s">
        <v>505</v>
      </c>
      <c r="H72" s="186"/>
      <c r="I72" s="186" t="s">
        <v>498</v>
      </c>
      <c r="J72" s="186" t="s">
        <v>23</v>
      </c>
      <c r="K72" s="186" t="s">
        <v>505</v>
      </c>
    </row>
    <row r="73" spans="1:13" x14ac:dyDescent="0.2">
      <c r="A73" s="14">
        <v>73</v>
      </c>
      <c r="B73" s="186" t="s">
        <v>500</v>
      </c>
      <c r="C73" s="186" t="s">
        <v>506</v>
      </c>
      <c r="D73" s="186" t="s">
        <v>56</v>
      </c>
      <c r="E73" s="186" t="s">
        <v>506</v>
      </c>
      <c r="F73" s="198" t="s">
        <v>266</v>
      </c>
      <c r="H73" s="186" t="s">
        <v>500</v>
      </c>
      <c r="I73" s="186" t="s">
        <v>506</v>
      </c>
      <c r="J73" s="186" t="s">
        <v>56</v>
      </c>
      <c r="K73" s="186" t="s">
        <v>506</v>
      </c>
      <c r="L73" s="198" t="s">
        <v>266</v>
      </c>
    </row>
    <row r="74" spans="1:13" x14ac:dyDescent="0.2">
      <c r="A74" s="14">
        <v>74</v>
      </c>
      <c r="B74" s="703">
        <f>_FCC1</f>
        <v>42491</v>
      </c>
      <c r="C74" s="691" t="s">
        <v>507</v>
      </c>
      <c r="D74" s="197">
        <f>M67</f>
        <v>0</v>
      </c>
      <c r="E74" s="51">
        <f>(C74*D74)</f>
        <v>0</v>
      </c>
      <c r="F74" s="159" t="s">
        <v>506</v>
      </c>
      <c r="H74" s="703">
        <f>_FCC1</f>
        <v>42491</v>
      </c>
      <c r="I74" s="691" t="s">
        <v>508</v>
      </c>
      <c r="J74" s="197">
        <f>M67</f>
        <v>0</v>
      </c>
      <c r="K74" s="51">
        <f>(I74*J74)</f>
        <v>0</v>
      </c>
      <c r="L74" s="159" t="s">
        <v>506</v>
      </c>
    </row>
    <row r="75" spans="1:13" x14ac:dyDescent="0.2">
      <c r="A75" s="14">
        <v>75</v>
      </c>
      <c r="B75" s="42">
        <f>_FCC2</f>
        <v>42856</v>
      </c>
      <c r="C75" s="691" t="s">
        <v>509</v>
      </c>
      <c r="D75" s="197">
        <f>M68</f>
        <v>210.5</v>
      </c>
      <c r="E75" s="197">
        <f>(C75*D75)</f>
        <v>421000</v>
      </c>
      <c r="F75" s="197">
        <f>(E77/D77)</f>
        <v>2423.29</v>
      </c>
      <c r="H75" s="42">
        <f>_FCC2</f>
        <v>42856</v>
      </c>
      <c r="I75" s="691" t="s">
        <v>508</v>
      </c>
      <c r="J75" s="197">
        <f>M68</f>
        <v>210.5</v>
      </c>
      <c r="K75" s="197">
        <f>(I75*J75)</f>
        <v>631500</v>
      </c>
      <c r="L75" s="197">
        <f>(K77/J77)</f>
        <v>3000</v>
      </c>
    </row>
    <row r="76" spans="1:13" x14ac:dyDescent="0.2">
      <c r="A76" s="14">
        <v>76</v>
      </c>
      <c r="B76" s="42">
        <f>_FCC3</f>
        <v>43221</v>
      </c>
      <c r="C76" s="691" t="s">
        <v>508</v>
      </c>
      <c r="D76" s="197">
        <f>M69</f>
        <v>154.5</v>
      </c>
      <c r="E76" s="197">
        <f>(C76*D76)</f>
        <v>463500</v>
      </c>
      <c r="H76" s="42">
        <f>_FCC3</f>
        <v>43221</v>
      </c>
      <c r="I76" s="691" t="s">
        <v>508</v>
      </c>
      <c r="J76" s="197">
        <f>M69</f>
        <v>154.5</v>
      </c>
      <c r="K76" s="197">
        <f>(I76*J76)</f>
        <v>463500</v>
      </c>
    </row>
    <row r="77" spans="1:13" x14ac:dyDescent="0.2">
      <c r="A77" s="14">
        <v>77</v>
      </c>
      <c r="D77" s="197">
        <f>SUM(D74:D76)</f>
        <v>365</v>
      </c>
      <c r="E77" s="197">
        <f>SUM(E74:E76)</f>
        <v>884500</v>
      </c>
      <c r="J77" s="51">
        <f>SUM(J74:J76)</f>
        <v>365</v>
      </c>
      <c r="K77" s="51">
        <f>SUM(K74:K76)</f>
        <v>1095000</v>
      </c>
    </row>
    <row r="78" spans="1:13" x14ac:dyDescent="0.2">
      <c r="A78" s="14">
        <v>78</v>
      </c>
    </row>
    <row r="79" spans="1:13" x14ac:dyDescent="0.2">
      <c r="A79" s="14">
        <v>79</v>
      </c>
      <c r="B79" s="419" t="s">
        <v>510</v>
      </c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</row>
    <row r="80" spans="1:13" x14ac:dyDescent="0.2">
      <c r="A80" s="14">
        <v>80</v>
      </c>
    </row>
    <row r="81" spans="1:14" x14ac:dyDescent="0.2">
      <c r="A81" s="14">
        <v>81</v>
      </c>
      <c r="E81" s="18" t="s">
        <v>469</v>
      </c>
      <c r="F81" s="26">
        <f>FIPROY</f>
        <v>43010</v>
      </c>
      <c r="I81" s="18" t="s">
        <v>470</v>
      </c>
      <c r="J81" s="26">
        <f>FFPROY</f>
        <v>43375</v>
      </c>
      <c r="M81" s="18" t="s">
        <v>471</v>
      </c>
      <c r="N81" s="266">
        <f>(J81-F81)</f>
        <v>365</v>
      </c>
    </row>
    <row r="82" spans="1:14" x14ac:dyDescent="0.2">
      <c r="A82" s="14">
        <v>82</v>
      </c>
      <c r="M82" s="18" t="s">
        <v>472</v>
      </c>
      <c r="N82" s="14">
        <f>IF(M86&gt;0,1,0)+IF(M87&gt;0,1,0)+IF(M88&gt;0,1,0)</f>
        <v>3</v>
      </c>
    </row>
    <row r="83" spans="1:14" x14ac:dyDescent="0.2">
      <c r="A83" s="14">
        <v>83</v>
      </c>
      <c r="B83" s="763" t="s">
        <v>473</v>
      </c>
      <c r="C83" s="763"/>
      <c r="D83" s="763"/>
      <c r="E83" s="32"/>
      <c r="F83" s="32"/>
      <c r="G83" s="33" t="s">
        <v>474</v>
      </c>
      <c r="H83" s="33" t="s">
        <v>474</v>
      </c>
      <c r="I83" s="34" t="s">
        <v>23</v>
      </c>
      <c r="J83" s="34" t="s">
        <v>475</v>
      </c>
      <c r="K83" s="34" t="s">
        <v>475</v>
      </c>
      <c r="L83" s="34" t="s">
        <v>23</v>
      </c>
      <c r="M83" s="32"/>
      <c r="N83" s="32"/>
    </row>
    <row r="84" spans="1:14" x14ac:dyDescent="0.2">
      <c r="A84" s="14">
        <v>84</v>
      </c>
      <c r="B84" s="35" t="s">
        <v>384</v>
      </c>
      <c r="C84" s="36"/>
      <c r="D84" s="35" t="s">
        <v>384</v>
      </c>
      <c r="E84" s="37" t="s">
        <v>474</v>
      </c>
      <c r="F84" s="37" t="s">
        <v>474</v>
      </c>
      <c r="G84" s="38" t="s">
        <v>384</v>
      </c>
      <c r="H84" s="38" t="s">
        <v>384</v>
      </c>
      <c r="I84" s="34" t="s">
        <v>476</v>
      </c>
      <c r="J84" s="34" t="s">
        <v>477</v>
      </c>
      <c r="K84" s="34" t="s">
        <v>477</v>
      </c>
      <c r="L84" s="34" t="s">
        <v>478</v>
      </c>
      <c r="M84" s="32"/>
      <c r="N84" s="32"/>
    </row>
    <row r="85" spans="1:14" x14ac:dyDescent="0.2">
      <c r="A85" s="14">
        <v>85</v>
      </c>
      <c r="B85" s="35" t="s">
        <v>479</v>
      </c>
      <c r="C85" s="35" t="s">
        <v>56</v>
      </c>
      <c r="D85" s="35" t="s">
        <v>110</v>
      </c>
      <c r="E85" s="38" t="s">
        <v>109</v>
      </c>
      <c r="F85" s="38" t="s">
        <v>110</v>
      </c>
      <c r="G85" s="38" t="s">
        <v>109</v>
      </c>
      <c r="H85" s="38" t="s">
        <v>110</v>
      </c>
      <c r="I85" s="38" t="s">
        <v>480</v>
      </c>
      <c r="J85" s="38" t="s">
        <v>511</v>
      </c>
      <c r="K85" s="38" t="s">
        <v>512</v>
      </c>
      <c r="L85" s="38" t="s">
        <v>482</v>
      </c>
      <c r="M85" s="38" t="s">
        <v>155</v>
      </c>
      <c r="N85" s="38" t="s">
        <v>502</v>
      </c>
    </row>
    <row r="86" spans="1:14" x14ac:dyDescent="0.2">
      <c r="A86" s="14">
        <v>86</v>
      </c>
      <c r="B86" s="39">
        <f>_FCC1</f>
        <v>42491</v>
      </c>
      <c r="C86" s="40">
        <f>(D86-B86)</f>
        <v>364</v>
      </c>
      <c r="D86" s="39">
        <f>B86+364</f>
        <v>42855</v>
      </c>
      <c r="E86" s="41">
        <f>IF(AND(FIPROY&gt;=B86,FIPROY&lt;=D86),1,0)</f>
        <v>0</v>
      </c>
      <c r="F86" s="41">
        <f>IF(AND(FFPROY&gt;=B86,FFPROY&lt;=D86),1,0)</f>
        <v>0</v>
      </c>
      <c r="G86" s="42" t="b">
        <f>IF(E86=1,FIPROY)</f>
        <v>0</v>
      </c>
      <c r="H86" s="42" t="b">
        <f>IF(F86=1,FFPROY)</f>
        <v>0</v>
      </c>
      <c r="I86" s="13">
        <f>IF(IF(E86=1,F86=0),(D86-G86),0)</f>
        <v>0</v>
      </c>
      <c r="J86" s="13">
        <f>IF(AND(E86=1,F86=1),(H86-G86),0)</f>
        <v>0</v>
      </c>
      <c r="K86" s="13">
        <f>IF(AND(E86=0,F86=0),(D86-B86),0)</f>
        <v>364</v>
      </c>
      <c r="L86" s="13">
        <f>IF(AND(F86=1,E86=0),(H86-B86),0)</f>
        <v>0</v>
      </c>
      <c r="M86" s="13">
        <f>SUM(I86:L86)</f>
        <v>364</v>
      </c>
      <c r="N86" s="43">
        <f>IF(M86=0,0,IF($M$89=$N$81,M86,(M86+($N$81-$M$89)/$N$82)))</f>
        <v>243</v>
      </c>
    </row>
    <row r="87" spans="1:14" x14ac:dyDescent="0.2">
      <c r="A87" s="14">
        <v>87</v>
      </c>
      <c r="B87" s="44">
        <f>_FCC2</f>
        <v>42856</v>
      </c>
      <c r="C87" s="45">
        <f>(D87-B87)</f>
        <v>364</v>
      </c>
      <c r="D87" s="39">
        <f>B87+364</f>
        <v>43220</v>
      </c>
      <c r="E87" s="41">
        <f>IF(AND(FIPROY&gt;=B87,FIPROY&lt;=D87),1,0)</f>
        <v>1</v>
      </c>
      <c r="F87" s="41">
        <f>IF(AND(FFPROY&gt;=B87,FFPROY&lt;=D87),1,0)</f>
        <v>0</v>
      </c>
      <c r="G87" s="42">
        <f>IF(E87=1,FIPROY)</f>
        <v>43010</v>
      </c>
      <c r="H87" s="42" t="b">
        <f>IF(F87=1,FFPROY)</f>
        <v>0</v>
      </c>
      <c r="I87" s="13">
        <f>IF(IF(E87=1,F87=0),(D87-G87),0)</f>
        <v>210</v>
      </c>
      <c r="J87" s="13">
        <f>IF(AND(E87=1,F87=1),(H87-G87),0)</f>
        <v>0</v>
      </c>
      <c r="K87" s="13">
        <f>IF(AND(E87=0,F87=0),(D87-B87),0)</f>
        <v>0</v>
      </c>
      <c r="L87" s="13">
        <f>IF(AND(F87=1,E87=0),(H87-B87),0)</f>
        <v>0</v>
      </c>
      <c r="M87" s="13">
        <f>SUM(I87:L87)</f>
        <v>210</v>
      </c>
      <c r="N87" s="43">
        <f>IF(M87=0,0,IF($M$89=$N$81,M87,(M87+($N$81-$M$89)/$N$82)))</f>
        <v>89</v>
      </c>
    </row>
    <row r="88" spans="1:14" x14ac:dyDescent="0.2">
      <c r="A88" s="14">
        <v>88</v>
      </c>
      <c r="B88" s="44">
        <f>_FCC3</f>
        <v>43221</v>
      </c>
      <c r="C88" s="45">
        <f>(D88-B88)</f>
        <v>364</v>
      </c>
      <c r="D88" s="39">
        <f>B88+364</f>
        <v>43585</v>
      </c>
      <c r="E88" s="41">
        <f>IF(AND(FIPROY&gt;=B88,FIPROY&lt;=D88),1,0)</f>
        <v>0</v>
      </c>
      <c r="F88" s="41">
        <f>IF(AND(FFPROY&gt;=B88,FFPROY&lt;=D88),1,0)</f>
        <v>1</v>
      </c>
      <c r="G88" s="42" t="b">
        <f>IF(E88=1,FIPROY)</f>
        <v>0</v>
      </c>
      <c r="H88" s="42">
        <f>IF(F88=1,FFPROY)</f>
        <v>43375</v>
      </c>
      <c r="I88" s="13">
        <f>IF(IF(E88=1,F88=0),(D88-G88),0)</f>
        <v>0</v>
      </c>
      <c r="J88" s="13">
        <f>IF(AND(E88=1,F88=1),(H88-G88),0)</f>
        <v>0</v>
      </c>
      <c r="K88" s="13">
        <f>IF(AND(E88=0,F88=0),(D88-B88),0)</f>
        <v>0</v>
      </c>
      <c r="L88" s="13">
        <f>IF(AND(F88=1,E88=0),(H88-B88),0)</f>
        <v>154</v>
      </c>
      <c r="M88" s="13">
        <f>SUM(I88:L88)</f>
        <v>154</v>
      </c>
      <c r="N88" s="43">
        <f>IF(M88=0,0,IF($M$89=$N$81,M88,(M88+($N$81-$M$89)/$N$82)))</f>
        <v>33</v>
      </c>
    </row>
    <row r="89" spans="1:14" ht="12.75" x14ac:dyDescent="0.2">
      <c r="A89" s="14">
        <v>89</v>
      </c>
      <c r="B89" s="46"/>
      <c r="C89" s="46"/>
      <c r="D89" s="47"/>
      <c r="E89" s="46"/>
      <c r="F89" s="46"/>
      <c r="G89" s="46"/>
      <c r="H89" s="47"/>
      <c r="M89" s="14">
        <f>SUM(M86:M88)</f>
        <v>728</v>
      </c>
      <c r="N89" s="267">
        <f>SUM(N86:N88)</f>
        <v>365</v>
      </c>
    </row>
    <row r="90" spans="1:14" ht="12.75" x14ac:dyDescent="0.2">
      <c r="A90" s="14">
        <v>90</v>
      </c>
      <c r="B90" s="35" t="s">
        <v>384</v>
      </c>
      <c r="C90" s="35" t="s">
        <v>513</v>
      </c>
      <c r="D90" s="35"/>
      <c r="E90" s="35" t="s">
        <v>36</v>
      </c>
      <c r="F90" s="46"/>
      <c r="G90" s="46"/>
      <c r="H90" s="47"/>
      <c r="L90" s="14"/>
      <c r="M90" s="48"/>
    </row>
    <row r="91" spans="1:14" ht="12.75" x14ac:dyDescent="0.2">
      <c r="A91" s="14">
        <v>91</v>
      </c>
      <c r="B91" s="35" t="s">
        <v>479</v>
      </c>
      <c r="C91" s="35" t="s">
        <v>506</v>
      </c>
      <c r="D91" s="35" t="s">
        <v>56</v>
      </c>
      <c r="E91" s="35" t="s">
        <v>506</v>
      </c>
      <c r="F91" s="198"/>
      <c r="G91" s="46"/>
      <c r="H91" s="47"/>
      <c r="L91" s="14"/>
      <c r="M91" s="48"/>
    </row>
    <row r="92" spans="1:14" ht="12.75" x14ac:dyDescent="0.2">
      <c r="A92" s="14">
        <v>92</v>
      </c>
      <c r="B92" s="39">
        <f>_FCC1</f>
        <v>42491</v>
      </c>
      <c r="C92" s="262" t="str">
        <f>SMN</f>
        <v>177507.44</v>
      </c>
      <c r="D92" s="262">
        <f>N86</f>
        <v>243</v>
      </c>
      <c r="E92" s="263">
        <f>(C92*D92)</f>
        <v>43134307.920000002</v>
      </c>
      <c r="F92" s="159" t="s">
        <v>506</v>
      </c>
      <c r="G92" s="46"/>
      <c r="H92" s="47"/>
      <c r="L92" s="14"/>
      <c r="M92" s="48"/>
    </row>
    <row r="93" spans="1:14" ht="12.75" x14ac:dyDescent="0.2">
      <c r="A93" s="14">
        <v>93</v>
      </c>
      <c r="B93" s="44">
        <f>_FCC2</f>
        <v>42856</v>
      </c>
      <c r="C93" s="262" t="str">
        <f>SMN</f>
        <v>177507.44</v>
      </c>
      <c r="D93" s="262">
        <f>N87</f>
        <v>89</v>
      </c>
      <c r="E93" s="263">
        <f>(C93*D93)</f>
        <v>15798162.16</v>
      </c>
      <c r="F93" s="695" t="s">
        <v>514</v>
      </c>
      <c r="G93" s="46"/>
      <c r="H93" s="47"/>
      <c r="L93" s="14"/>
      <c r="M93" s="48"/>
    </row>
    <row r="94" spans="1:14" ht="12.75" x14ac:dyDescent="0.2">
      <c r="A94" s="14">
        <v>94</v>
      </c>
      <c r="B94" s="44">
        <f>_FCC3</f>
        <v>43221</v>
      </c>
      <c r="C94" s="262" t="str">
        <f>SMN</f>
        <v>177507.44</v>
      </c>
      <c r="D94" s="262">
        <f>N88</f>
        <v>33</v>
      </c>
      <c r="E94" s="263">
        <f>(C94*D94)</f>
        <v>5857745.5199999996</v>
      </c>
      <c r="F94" s="198" t="s">
        <v>266</v>
      </c>
      <c r="G94" s="46"/>
      <c r="H94" s="47"/>
      <c r="L94" s="14"/>
      <c r="M94" s="48"/>
    </row>
    <row r="95" spans="1:14" ht="12.75" x14ac:dyDescent="0.2">
      <c r="A95" s="14">
        <v>95</v>
      </c>
      <c r="B95" s="46"/>
      <c r="C95" s="46"/>
      <c r="D95" s="262">
        <f>SUM(D92:D94)</f>
        <v>365</v>
      </c>
      <c r="E95" s="263">
        <f>SUM(E92:E94)</f>
        <v>64790215.600000001</v>
      </c>
      <c r="F95" s="400">
        <f>E95/D95</f>
        <v>177507.44</v>
      </c>
      <c r="G95" s="46"/>
      <c r="H95" s="47"/>
      <c r="L95" s="14"/>
      <c r="M95" s="48"/>
    </row>
    <row r="96" spans="1:14" ht="12.75" x14ac:dyDescent="0.2">
      <c r="A96" s="14">
        <v>96</v>
      </c>
      <c r="B96" s="46"/>
      <c r="C96" s="46"/>
      <c r="D96" s="47"/>
      <c r="E96" s="46"/>
      <c r="F96" s="46"/>
      <c r="G96" s="46"/>
      <c r="H96" s="47"/>
      <c r="L96" s="14"/>
      <c r="M96" s="48"/>
    </row>
    <row r="97" spans="1:14" x14ac:dyDescent="0.2">
      <c r="A97" s="14">
        <v>97</v>
      </c>
      <c r="B97" s="260" t="s">
        <v>515</v>
      </c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</row>
    <row r="98" spans="1:14" ht="12.75" x14ac:dyDescent="0.2">
      <c r="A98" s="14">
        <v>98</v>
      </c>
      <c r="B98" s="46"/>
      <c r="C98" s="46"/>
      <c r="D98" s="47"/>
      <c r="E98" s="46"/>
      <c r="F98" s="46"/>
      <c r="G98" s="46"/>
      <c r="H98" s="47"/>
      <c r="L98" s="14"/>
      <c r="M98" s="48"/>
    </row>
    <row r="99" spans="1:14" ht="12.75" x14ac:dyDescent="0.2">
      <c r="A99" s="14">
        <v>99</v>
      </c>
      <c r="B99" s="277" t="s">
        <v>108</v>
      </c>
      <c r="C99" s="46"/>
      <c r="D99" s="47"/>
      <c r="E99" s="46"/>
      <c r="F99" s="46"/>
      <c r="G99" s="46"/>
      <c r="H99" s="47"/>
      <c r="L99" s="14"/>
      <c r="M99" s="48"/>
    </row>
    <row r="100" spans="1:14" ht="12.75" x14ac:dyDescent="0.2">
      <c r="A100" s="14">
        <v>100</v>
      </c>
      <c r="B100" s="46"/>
      <c r="C100" s="46"/>
      <c r="D100" s="47"/>
      <c r="E100" s="46"/>
      <c r="F100" s="46"/>
      <c r="G100" s="46"/>
      <c r="H100" s="47"/>
      <c r="L100" s="14"/>
      <c r="M100" s="48"/>
    </row>
    <row r="101" spans="1:14" x14ac:dyDescent="0.2">
      <c r="A101" s="14">
        <v>101</v>
      </c>
      <c r="E101" s="18" t="s">
        <v>516</v>
      </c>
      <c r="F101" s="26">
        <f>FCAS!C157</f>
        <v>43010</v>
      </c>
      <c r="I101" s="18" t="s">
        <v>517</v>
      </c>
      <c r="J101" s="26">
        <f>FCAS!F157</f>
        <v>43190</v>
      </c>
      <c r="L101" s="18" t="s">
        <v>471</v>
      </c>
      <c r="M101" s="266">
        <f>(J101-F101)</f>
        <v>180</v>
      </c>
      <c r="N101" s="137"/>
    </row>
    <row r="102" spans="1:14" x14ac:dyDescent="0.2">
      <c r="A102" s="14">
        <v>102</v>
      </c>
      <c r="L102" s="18" t="s">
        <v>472</v>
      </c>
      <c r="M102" s="14">
        <f>IF(L106&gt;0,1,0)+IF(L107&gt;0,1,0)+IF(L108&gt;0,1,0)</f>
        <v>1</v>
      </c>
      <c r="N102" s="137"/>
    </row>
    <row r="103" spans="1:14" x14ac:dyDescent="0.2">
      <c r="A103" s="14">
        <v>103</v>
      </c>
      <c r="B103" s="763" t="s">
        <v>473</v>
      </c>
      <c r="C103" s="763"/>
      <c r="D103" s="763"/>
      <c r="E103" s="32"/>
      <c r="F103" s="32"/>
      <c r="G103" s="33" t="s">
        <v>474</v>
      </c>
      <c r="H103" s="33" t="s">
        <v>474</v>
      </c>
      <c r="I103" s="34" t="s">
        <v>23</v>
      </c>
      <c r="J103" s="34" t="s">
        <v>475</v>
      </c>
      <c r="K103" s="34" t="s">
        <v>23</v>
      </c>
      <c r="L103" s="32"/>
      <c r="M103" s="32"/>
      <c r="N103" s="137"/>
    </row>
    <row r="104" spans="1:14" x14ac:dyDescent="0.2">
      <c r="A104" s="14">
        <v>104</v>
      </c>
      <c r="B104" s="35" t="s">
        <v>384</v>
      </c>
      <c r="C104" s="36"/>
      <c r="D104" s="35" t="s">
        <v>384</v>
      </c>
      <c r="E104" s="37" t="s">
        <v>474</v>
      </c>
      <c r="F104" s="37" t="s">
        <v>474</v>
      </c>
      <c r="G104" s="38" t="s">
        <v>384</v>
      </c>
      <c r="H104" s="38" t="s">
        <v>384</v>
      </c>
      <c r="I104" s="34" t="s">
        <v>476</v>
      </c>
      <c r="J104" s="34" t="s">
        <v>477</v>
      </c>
      <c r="K104" s="34" t="s">
        <v>478</v>
      </c>
      <c r="L104" s="32"/>
      <c r="M104" s="32"/>
      <c r="N104" s="137"/>
    </row>
    <row r="105" spans="1:14" x14ac:dyDescent="0.2">
      <c r="A105" s="14">
        <v>105</v>
      </c>
      <c r="B105" s="35" t="s">
        <v>479</v>
      </c>
      <c r="C105" s="35" t="s">
        <v>56</v>
      </c>
      <c r="D105" s="35" t="s">
        <v>110</v>
      </c>
      <c r="E105" s="38" t="s">
        <v>109</v>
      </c>
      <c r="F105" s="38" t="s">
        <v>110</v>
      </c>
      <c r="G105" s="38" t="s">
        <v>109</v>
      </c>
      <c r="H105" s="38" t="s">
        <v>110</v>
      </c>
      <c r="I105" s="38" t="s">
        <v>480</v>
      </c>
      <c r="J105" s="38" t="s">
        <v>481</v>
      </c>
      <c r="K105" s="38" t="s">
        <v>482</v>
      </c>
      <c r="L105" s="38" t="s">
        <v>155</v>
      </c>
      <c r="M105" s="38" t="s">
        <v>502</v>
      </c>
      <c r="N105" s="137"/>
    </row>
    <row r="106" spans="1:14" x14ac:dyDescent="0.2">
      <c r="A106" s="14">
        <v>106</v>
      </c>
      <c r="B106" s="39">
        <f>_FCC1</f>
        <v>42491</v>
      </c>
      <c r="C106" s="40">
        <f>(D106-B106)</f>
        <v>364</v>
      </c>
      <c r="D106" s="39">
        <f>B106+364</f>
        <v>42855</v>
      </c>
      <c r="E106" s="41">
        <f>IF(AND(F101&gt;=B106,F101&lt;=D106),1,0)</f>
        <v>0</v>
      </c>
      <c r="F106" s="41">
        <f>IF(AND(J101&gt;=B106,J101&lt;=D106),1,0)</f>
        <v>0</v>
      </c>
      <c r="G106" s="42" t="b">
        <f>IF(E106=1,F101)</f>
        <v>0</v>
      </c>
      <c r="H106" s="42" t="b">
        <f>IF(F106=1,J101)</f>
        <v>0</v>
      </c>
      <c r="I106" s="13">
        <f>IF(IF(E106=1,F106=0),(D106-G106),0)</f>
        <v>0</v>
      </c>
      <c r="J106" s="13">
        <f>IF(AND(E106=1,F106=1),(H106-G106),0)</f>
        <v>0</v>
      </c>
      <c r="K106" s="13">
        <f>IF(AND(F106=1,E106=0),(H106-B106),0)</f>
        <v>0</v>
      </c>
      <c r="L106" s="13">
        <f>SUM(I106:K106)</f>
        <v>0</v>
      </c>
      <c r="M106" s="43">
        <f>IF(L106=0,0,IF($L$109=$M$101,L106,(L106+($M$101-$L$109)/$M$102)))</f>
        <v>0</v>
      </c>
      <c r="N106" s="137"/>
    </row>
    <row r="107" spans="1:14" x14ac:dyDescent="0.2">
      <c r="A107" s="14">
        <v>107</v>
      </c>
      <c r="B107" s="44">
        <f>_FCC2</f>
        <v>42856</v>
      </c>
      <c r="C107" s="45">
        <f>(D107-B107)</f>
        <v>364</v>
      </c>
      <c r="D107" s="39">
        <f>B107+364</f>
        <v>43220</v>
      </c>
      <c r="E107" s="41">
        <f>IF(AND(F101&gt;=B107,F101&lt;=D107),1,0)</f>
        <v>1</v>
      </c>
      <c r="F107" s="41">
        <f>IF(AND(J101&gt;=B107,J101&lt;=D107),1,0)</f>
        <v>1</v>
      </c>
      <c r="G107" s="42">
        <f>IF(E107=1,F101)</f>
        <v>43010</v>
      </c>
      <c r="H107" s="42">
        <f>IF(F107=1,J101)</f>
        <v>43190</v>
      </c>
      <c r="I107" s="13">
        <f>IF(IF(E107=1,F107=0),(D107-G107),0)</f>
        <v>0</v>
      </c>
      <c r="J107" s="13">
        <f>IF(AND(E107=1,F107=1),(H107-G107),0)</f>
        <v>180</v>
      </c>
      <c r="K107" s="13">
        <f>IF(AND(F107=1,E107=0),(H107-B107),0)</f>
        <v>0</v>
      </c>
      <c r="L107" s="13">
        <f>SUM(I107:K107)</f>
        <v>180</v>
      </c>
      <c r="M107" s="43">
        <f>IF(L107=0,0,IF($L$109=$M$101,L107,(L107+($M$101-$L$109)/$M$102)))</f>
        <v>180</v>
      </c>
      <c r="N107" s="137"/>
    </row>
    <row r="108" spans="1:14" x14ac:dyDescent="0.2">
      <c r="A108" s="14">
        <v>108</v>
      </c>
      <c r="B108" s="44">
        <f>_FCC3</f>
        <v>43221</v>
      </c>
      <c r="C108" s="45">
        <f>(D108-B108)</f>
        <v>364</v>
      </c>
      <c r="D108" s="39">
        <f>B108+364</f>
        <v>43585</v>
      </c>
      <c r="E108" s="41">
        <f>IF(AND(F101&gt;=B108,F101&lt;=D108),1,0)</f>
        <v>0</v>
      </c>
      <c r="F108" s="41">
        <f>IF(AND(J101&gt;=B108,J101&lt;=D108),1,0)</f>
        <v>0</v>
      </c>
      <c r="G108" s="42" t="b">
        <f>IF(E108=1,F101)</f>
        <v>0</v>
      </c>
      <c r="H108" s="42" t="b">
        <f>IF(F108=1,J101)</f>
        <v>0</v>
      </c>
      <c r="I108" s="13">
        <f>IF(IF(E108=1,F108=0),(D108-G108),0)</f>
        <v>0</v>
      </c>
      <c r="J108" s="13">
        <f>IF(AND(E108=1,F108=1),(H108-G108),0)</f>
        <v>0</v>
      </c>
      <c r="K108" s="13">
        <f>IF(AND(F108=1,E108=0),(H108-B108),0)</f>
        <v>0</v>
      </c>
      <c r="L108" s="13">
        <f>SUM(I108:K108)</f>
        <v>0</v>
      </c>
      <c r="M108" s="43">
        <f>IF(L108=0,0,IF($L$109=$M$101,L108,(L108+($M$101-$L$109)/$M$102)))</f>
        <v>0</v>
      </c>
      <c r="N108" s="137"/>
    </row>
    <row r="109" spans="1:14" ht="12.75" x14ac:dyDescent="0.2">
      <c r="A109" s="14">
        <v>109</v>
      </c>
      <c r="B109" s="46"/>
      <c r="C109" s="46"/>
      <c r="D109" s="47"/>
      <c r="E109" s="46"/>
      <c r="F109" s="46"/>
      <c r="G109" s="46"/>
      <c r="H109" s="47"/>
      <c r="L109" s="14">
        <f>SUM(L106:L108)</f>
        <v>180</v>
      </c>
      <c r="M109" s="267">
        <f>SUM(M106:M108)</f>
        <v>180</v>
      </c>
      <c r="N109" s="137"/>
    </row>
    <row r="110" spans="1:14" ht="12.75" x14ac:dyDescent="0.2">
      <c r="A110" s="14">
        <v>110</v>
      </c>
      <c r="B110" s="35" t="s">
        <v>384</v>
      </c>
      <c r="C110" s="35" t="s">
        <v>498</v>
      </c>
      <c r="D110" s="35"/>
      <c r="E110" s="35" t="s">
        <v>36</v>
      </c>
      <c r="F110" s="46"/>
      <c r="H110" s="137"/>
      <c r="I110" s="137"/>
      <c r="J110" s="137"/>
      <c r="K110" s="137"/>
      <c r="L110" s="137"/>
      <c r="M110" s="137"/>
      <c r="N110" s="137"/>
    </row>
    <row r="111" spans="1:14" x14ac:dyDescent="0.2">
      <c r="A111" s="14">
        <v>111</v>
      </c>
      <c r="B111" s="35" t="s">
        <v>479</v>
      </c>
      <c r="C111" s="35" t="s">
        <v>506</v>
      </c>
      <c r="D111" s="35" t="s">
        <v>56</v>
      </c>
      <c r="E111" s="35" t="s">
        <v>506</v>
      </c>
      <c r="F111" s="198" t="s">
        <v>266</v>
      </c>
      <c r="H111" s="137"/>
      <c r="I111" s="137"/>
      <c r="J111" s="137"/>
      <c r="K111" s="137"/>
      <c r="L111" s="137"/>
      <c r="M111" s="137"/>
      <c r="N111" s="137"/>
    </row>
    <row r="112" spans="1:14" x14ac:dyDescent="0.2">
      <c r="A112" s="14">
        <v>112</v>
      </c>
      <c r="B112" s="39">
        <f>_FCC1</f>
        <v>42491</v>
      </c>
      <c r="C112" s="262">
        <f>VARIABLES!$C$33*VUT</f>
        <v>9300</v>
      </c>
      <c r="D112" s="262">
        <f>M106</f>
        <v>0</v>
      </c>
      <c r="E112" s="263">
        <f>(C112*D112)</f>
        <v>0</v>
      </c>
      <c r="F112" s="159" t="s">
        <v>506</v>
      </c>
      <c r="H112" s="137"/>
      <c r="I112" s="137"/>
      <c r="J112" s="137"/>
      <c r="K112" s="137"/>
      <c r="L112" s="137"/>
      <c r="M112" s="137"/>
      <c r="N112" s="137"/>
    </row>
    <row r="113" spans="1:14" x14ac:dyDescent="0.2">
      <c r="A113" s="14">
        <v>113</v>
      </c>
      <c r="B113" s="44">
        <f>_FCC2</f>
        <v>42856</v>
      </c>
      <c r="C113" s="262">
        <f>VARIABLES!$C$33*VUT</f>
        <v>9300</v>
      </c>
      <c r="D113" s="262">
        <f>M107</f>
        <v>180</v>
      </c>
      <c r="E113" s="263">
        <f>(C113*D113)</f>
        <v>1674000</v>
      </c>
      <c r="F113" s="197">
        <f>(E115/D115)</f>
        <v>9300</v>
      </c>
      <c r="H113" s="137"/>
      <c r="I113" s="137"/>
      <c r="J113" s="137"/>
      <c r="K113" s="137"/>
      <c r="L113" s="137"/>
      <c r="M113" s="137"/>
      <c r="N113" s="137"/>
    </row>
    <row r="114" spans="1:14" x14ac:dyDescent="0.2">
      <c r="A114" s="14">
        <v>114</v>
      </c>
      <c r="B114" s="44">
        <f>_FCC3</f>
        <v>43221</v>
      </c>
      <c r="C114" s="262">
        <f>VARIABLES!$C$33*VUT</f>
        <v>9300</v>
      </c>
      <c r="D114" s="262">
        <f>M108</f>
        <v>0</v>
      </c>
      <c r="E114" s="263">
        <f>(C114*D114)</f>
        <v>0</v>
      </c>
      <c r="H114" s="137"/>
      <c r="I114" s="137"/>
      <c r="J114" s="137"/>
      <c r="K114" s="137"/>
      <c r="L114" s="137"/>
      <c r="M114" s="137"/>
      <c r="N114" s="137"/>
    </row>
    <row r="115" spans="1:14" ht="12.75" x14ac:dyDescent="0.2">
      <c r="A115" s="14">
        <v>115</v>
      </c>
      <c r="B115" s="46"/>
      <c r="C115" s="46"/>
      <c r="D115" s="262">
        <f>SUM(D112:D114)</f>
        <v>180</v>
      </c>
      <c r="E115" s="263">
        <f>SUM(E112:E114)</f>
        <v>1674000</v>
      </c>
      <c r="F115" s="46"/>
      <c r="H115" s="137"/>
      <c r="I115" s="137"/>
      <c r="J115" s="137"/>
      <c r="K115" s="137"/>
      <c r="L115" s="137"/>
      <c r="M115" s="137"/>
      <c r="N115" s="137"/>
    </row>
    <row r="116" spans="1:14" x14ac:dyDescent="0.2">
      <c r="A116" s="14">
        <v>116</v>
      </c>
      <c r="H116" s="137"/>
      <c r="I116" s="137"/>
      <c r="J116" s="137"/>
      <c r="K116" s="137"/>
      <c r="L116" s="137"/>
      <c r="M116" s="137"/>
      <c r="N116" s="137"/>
    </row>
    <row r="117" spans="1:14" ht="12.75" x14ac:dyDescent="0.2">
      <c r="A117" s="14">
        <v>117</v>
      </c>
      <c r="B117" s="277" t="s">
        <v>518</v>
      </c>
      <c r="C117" s="46"/>
      <c r="D117" s="47"/>
      <c r="E117" s="46"/>
      <c r="F117" s="46"/>
      <c r="G117" s="46"/>
      <c r="H117" s="47"/>
      <c r="L117" s="14"/>
      <c r="M117" s="48"/>
      <c r="N117" s="137"/>
    </row>
    <row r="118" spans="1:14" ht="12.75" x14ac:dyDescent="0.2">
      <c r="A118" s="14">
        <v>118</v>
      </c>
      <c r="B118" s="46"/>
      <c r="C118" s="46"/>
      <c r="D118" s="47"/>
      <c r="E118" s="46"/>
      <c r="F118" s="46"/>
      <c r="G118" s="46"/>
      <c r="H118" s="47"/>
      <c r="L118" s="14"/>
      <c r="M118" s="48"/>
      <c r="N118" s="137"/>
    </row>
    <row r="119" spans="1:14" x14ac:dyDescent="0.2">
      <c r="A119" s="14">
        <v>119</v>
      </c>
      <c r="E119" s="18" t="s">
        <v>516</v>
      </c>
      <c r="F119" s="26">
        <f>FCAS!C160</f>
        <v>43010</v>
      </c>
      <c r="I119" s="18" t="s">
        <v>517</v>
      </c>
      <c r="J119" s="26">
        <f>FCAS!F160</f>
        <v>43040</v>
      </c>
      <c r="L119" s="18" t="s">
        <v>471</v>
      </c>
      <c r="M119" s="266">
        <f>(J119-F119)</f>
        <v>30</v>
      </c>
      <c r="N119" s="137"/>
    </row>
    <row r="120" spans="1:14" x14ac:dyDescent="0.2">
      <c r="A120" s="14">
        <v>120</v>
      </c>
      <c r="L120" s="18" t="s">
        <v>472</v>
      </c>
      <c r="M120" s="14">
        <f>IF(L124&gt;0,1,0)+IF(L125&gt;0,1,0)+IF(L126&gt;0,1,0)</f>
        <v>1</v>
      </c>
      <c r="N120" s="137"/>
    </row>
    <row r="121" spans="1:14" x14ac:dyDescent="0.2">
      <c r="A121" s="14">
        <v>121</v>
      </c>
      <c r="B121" s="763" t="s">
        <v>473</v>
      </c>
      <c r="C121" s="763"/>
      <c r="D121" s="763"/>
      <c r="E121" s="32"/>
      <c r="F121" s="32"/>
      <c r="G121" s="33" t="s">
        <v>474</v>
      </c>
      <c r="H121" s="33" t="s">
        <v>474</v>
      </c>
      <c r="I121" s="34" t="s">
        <v>23</v>
      </c>
      <c r="J121" s="34" t="s">
        <v>475</v>
      </c>
      <c r="K121" s="34" t="s">
        <v>23</v>
      </c>
      <c r="L121" s="32"/>
      <c r="M121" s="32"/>
      <c r="N121" s="137"/>
    </row>
    <row r="122" spans="1:14" x14ac:dyDescent="0.2">
      <c r="A122" s="14">
        <v>122</v>
      </c>
      <c r="B122" s="35" t="s">
        <v>384</v>
      </c>
      <c r="C122" s="36"/>
      <c r="D122" s="35" t="s">
        <v>384</v>
      </c>
      <c r="E122" s="37" t="s">
        <v>474</v>
      </c>
      <c r="F122" s="37" t="s">
        <v>474</v>
      </c>
      <c r="G122" s="38" t="s">
        <v>384</v>
      </c>
      <c r="H122" s="38" t="s">
        <v>384</v>
      </c>
      <c r="I122" s="34" t="s">
        <v>476</v>
      </c>
      <c r="J122" s="34" t="s">
        <v>477</v>
      </c>
      <c r="K122" s="34" t="s">
        <v>478</v>
      </c>
      <c r="L122" s="32"/>
      <c r="M122" s="32"/>
      <c r="N122" s="137"/>
    </row>
    <row r="123" spans="1:14" x14ac:dyDescent="0.2">
      <c r="A123" s="14">
        <v>123</v>
      </c>
      <c r="B123" s="35" t="s">
        <v>479</v>
      </c>
      <c r="C123" s="35" t="s">
        <v>56</v>
      </c>
      <c r="D123" s="35" t="s">
        <v>110</v>
      </c>
      <c r="E123" s="38" t="s">
        <v>109</v>
      </c>
      <c r="F123" s="38" t="s">
        <v>110</v>
      </c>
      <c r="G123" s="38" t="s">
        <v>109</v>
      </c>
      <c r="H123" s="38" t="s">
        <v>110</v>
      </c>
      <c r="I123" s="38" t="s">
        <v>480</v>
      </c>
      <c r="J123" s="38" t="s">
        <v>481</v>
      </c>
      <c r="K123" s="38" t="s">
        <v>482</v>
      </c>
      <c r="L123" s="38" t="s">
        <v>155</v>
      </c>
      <c r="M123" s="38" t="s">
        <v>502</v>
      </c>
      <c r="N123" s="251"/>
    </row>
    <row r="124" spans="1:14" x14ac:dyDescent="0.2">
      <c r="A124" s="14">
        <v>124</v>
      </c>
      <c r="B124" s="39">
        <f>_FCC1</f>
        <v>42491</v>
      </c>
      <c r="C124" s="40">
        <f>(D124-B124)</f>
        <v>364</v>
      </c>
      <c r="D124" s="39">
        <f>B124+364</f>
        <v>42855</v>
      </c>
      <c r="E124" s="41">
        <f>IF(AND(F119&gt;=B124,F119&lt;=D124),1,0)</f>
        <v>0</v>
      </c>
      <c r="F124" s="41">
        <f>IF(AND(J119&gt;=B124,J119&lt;=D124),1,0)</f>
        <v>0</v>
      </c>
      <c r="G124" s="42" t="b">
        <f>IF(E124=1,F119)</f>
        <v>0</v>
      </c>
      <c r="H124" s="42" t="b">
        <f>IF(F124=1,J119)</f>
        <v>0</v>
      </c>
      <c r="I124" s="13">
        <f>IF(IF(E124=1,F124=0),(D124-G124),0)</f>
        <v>0</v>
      </c>
      <c r="J124" s="13">
        <f>IF(AND(E124=1,F124=1),(H124-G124),0)</f>
        <v>0</v>
      </c>
      <c r="K124" s="13">
        <f>IF(AND(F124=1,E124=0),(H124-B124),0)</f>
        <v>0</v>
      </c>
      <c r="L124" s="13">
        <f>SUM(I124:K124)</f>
        <v>0</v>
      </c>
      <c r="M124" s="43">
        <f>IF(L124=0,0,IF($L$127=$M$119,L124,(L124+($M$119-$L$127)/$M$120)))</f>
        <v>0</v>
      </c>
      <c r="N124" s="251"/>
    </row>
    <row r="125" spans="1:14" x14ac:dyDescent="0.2">
      <c r="A125" s="14">
        <v>125</v>
      </c>
      <c r="B125" s="44">
        <f>_FCC2</f>
        <v>42856</v>
      </c>
      <c r="C125" s="45">
        <f>(D125-B125)</f>
        <v>364</v>
      </c>
      <c r="D125" s="39">
        <f>B125+364</f>
        <v>43220</v>
      </c>
      <c r="E125" s="41">
        <f>IF(AND(F119&gt;=B125,F119&lt;=D125),1,0)</f>
        <v>1</v>
      </c>
      <c r="F125" s="41">
        <f>IF(AND(J119&gt;=B125,J119&lt;=D125),1,0)</f>
        <v>1</v>
      </c>
      <c r="G125" s="42">
        <f>IF(E125=1,F119)</f>
        <v>43010</v>
      </c>
      <c r="H125" s="42">
        <f>IF(F125=1,J119)</f>
        <v>43040</v>
      </c>
      <c r="I125" s="13">
        <f>IF(IF(E125=1,F125=0),(D125-G125),0)</f>
        <v>0</v>
      </c>
      <c r="J125" s="13">
        <f>IF(AND(E125=1,F125=1),(H125-G125),0)</f>
        <v>30</v>
      </c>
      <c r="K125" s="13">
        <f>IF(AND(F125=1,E125=0),(H125-B125),0)</f>
        <v>0</v>
      </c>
      <c r="L125" s="13">
        <f>SUM(I125:K125)</f>
        <v>30</v>
      </c>
      <c r="M125" s="43">
        <f>IF(L125=0,0,IF($L$127=$M$119,L125,(L125+($M$119-$L$127)/$M$120)))</f>
        <v>30</v>
      </c>
      <c r="N125" s="251"/>
    </row>
    <row r="126" spans="1:14" x14ac:dyDescent="0.2">
      <c r="A126" s="14">
        <v>126</v>
      </c>
      <c r="B126" s="44">
        <f>_FCC3</f>
        <v>43221</v>
      </c>
      <c r="C126" s="45">
        <f>(D126-B126)</f>
        <v>364</v>
      </c>
      <c r="D126" s="39">
        <f>B126+364</f>
        <v>43585</v>
      </c>
      <c r="E126" s="41">
        <f>IF(AND(F119&gt;=B126,F119&lt;=D126),1,0)</f>
        <v>0</v>
      </c>
      <c r="F126" s="41">
        <f>IF(AND(J119&gt;=B126,J119&lt;=D126),1,0)</f>
        <v>0</v>
      </c>
      <c r="G126" s="42" t="b">
        <f>IF(E126=1,F119)</f>
        <v>0</v>
      </c>
      <c r="H126" s="42" t="b">
        <f>IF(F126=1,J119)</f>
        <v>0</v>
      </c>
      <c r="I126" s="13">
        <f>IF(IF(E126=1,F126=0),(D126-G126),0)</f>
        <v>0</v>
      </c>
      <c r="J126" s="13">
        <f>IF(AND(E126=1,F126=1),(H126-G126),0)</f>
        <v>0</v>
      </c>
      <c r="K126" s="13">
        <f>IF(AND(F126=1,E126=0),(H126-B126),0)</f>
        <v>0</v>
      </c>
      <c r="L126" s="13">
        <f>SUM(I126:K126)</f>
        <v>0</v>
      </c>
      <c r="M126" s="43">
        <f>IF(L126=0,0,IF($L$127=$M$119,L126,(L126+($M$119-$L$127)/$M$120)))</f>
        <v>0</v>
      </c>
      <c r="N126" s="251"/>
    </row>
    <row r="127" spans="1:14" ht="12.75" x14ac:dyDescent="0.2">
      <c r="A127" s="14">
        <v>127</v>
      </c>
      <c r="B127" s="46"/>
      <c r="C127" s="46"/>
      <c r="D127" s="47"/>
      <c r="E127" s="46"/>
      <c r="F127" s="46"/>
      <c r="G127" s="46"/>
      <c r="H127" s="47"/>
      <c r="L127" s="14">
        <f>SUM(L124:L126)</f>
        <v>30</v>
      </c>
      <c r="M127" s="267">
        <f>SUM(M124:M126)</f>
        <v>30</v>
      </c>
      <c r="N127" s="251"/>
    </row>
    <row r="128" spans="1:14" ht="12.75" x14ac:dyDescent="0.2">
      <c r="A128" s="14">
        <v>128</v>
      </c>
      <c r="B128" s="35" t="s">
        <v>384</v>
      </c>
      <c r="C128" s="35" t="s">
        <v>498</v>
      </c>
      <c r="D128" s="35"/>
      <c r="E128" s="35" t="s">
        <v>36</v>
      </c>
      <c r="F128" s="46"/>
      <c r="H128" s="137"/>
      <c r="I128" s="137"/>
      <c r="J128" s="137"/>
      <c r="K128" s="137"/>
      <c r="L128" s="137"/>
      <c r="M128" s="137"/>
      <c r="N128" s="251"/>
    </row>
    <row r="129" spans="1:14" x14ac:dyDescent="0.2">
      <c r="A129" s="14">
        <v>129</v>
      </c>
      <c r="B129" s="35" t="s">
        <v>479</v>
      </c>
      <c r="C129" s="35" t="s">
        <v>506</v>
      </c>
      <c r="D129" s="35" t="s">
        <v>56</v>
      </c>
      <c r="E129" s="35" t="s">
        <v>506</v>
      </c>
      <c r="F129" s="198" t="s">
        <v>266</v>
      </c>
      <c r="H129" s="137"/>
      <c r="I129" s="137"/>
      <c r="J129" s="137"/>
      <c r="K129" s="137"/>
      <c r="L129" s="137"/>
      <c r="M129" s="137"/>
      <c r="N129" s="251"/>
    </row>
    <row r="130" spans="1:14" x14ac:dyDescent="0.2">
      <c r="A130" s="14">
        <v>130</v>
      </c>
      <c r="B130" s="39">
        <f>_FCC1</f>
        <v>42491</v>
      </c>
      <c r="C130" s="262">
        <f>VARIABLES!$C$33*VUT</f>
        <v>9300</v>
      </c>
      <c r="D130" s="262">
        <f>M124</f>
        <v>0</v>
      </c>
      <c r="E130" s="263">
        <f>(C130*D130)</f>
        <v>0</v>
      </c>
      <c r="F130" s="159" t="s">
        <v>506</v>
      </c>
      <c r="H130" s="137"/>
      <c r="I130" s="137"/>
      <c r="J130" s="137"/>
      <c r="K130" s="137"/>
      <c r="L130" s="137"/>
      <c r="M130" s="137"/>
      <c r="N130" s="251"/>
    </row>
    <row r="131" spans="1:14" x14ac:dyDescent="0.2">
      <c r="A131" s="14">
        <v>131</v>
      </c>
      <c r="B131" s="44">
        <f>_FCC2</f>
        <v>42856</v>
      </c>
      <c r="C131" s="262">
        <f>VARIABLES!$C$33*VUT</f>
        <v>9300</v>
      </c>
      <c r="D131" s="262">
        <f>M125</f>
        <v>30</v>
      </c>
      <c r="E131" s="263">
        <f>(C131*D131)</f>
        <v>279000</v>
      </c>
      <c r="F131" s="197">
        <f>(E133/D133)</f>
        <v>9300</v>
      </c>
      <c r="H131" s="137"/>
      <c r="I131" s="137"/>
      <c r="J131" s="137"/>
      <c r="K131" s="137"/>
      <c r="L131" s="137"/>
      <c r="M131" s="137"/>
      <c r="N131" s="251"/>
    </row>
    <row r="132" spans="1:14" x14ac:dyDescent="0.2">
      <c r="A132" s="14">
        <v>132</v>
      </c>
      <c r="B132" s="44">
        <f>_FCC3</f>
        <v>43221</v>
      </c>
      <c r="C132" s="262">
        <f>VARIABLES!$C$33*VUT</f>
        <v>9300</v>
      </c>
      <c r="D132" s="262">
        <f>M126</f>
        <v>0</v>
      </c>
      <c r="E132" s="263">
        <f>(C132*D132)</f>
        <v>0</v>
      </c>
      <c r="H132" s="137"/>
      <c r="I132" s="137"/>
      <c r="J132" s="137"/>
      <c r="K132" s="137"/>
      <c r="L132" s="137"/>
      <c r="M132" s="137"/>
      <c r="N132" s="251"/>
    </row>
    <row r="133" spans="1:14" ht="12.75" x14ac:dyDescent="0.2">
      <c r="A133" s="14">
        <v>133</v>
      </c>
      <c r="B133" s="46"/>
      <c r="C133" s="46"/>
      <c r="D133" s="262">
        <f>SUM(D130:D132)</f>
        <v>30</v>
      </c>
      <c r="E133" s="263">
        <f>SUM(E130:E132)</f>
        <v>279000</v>
      </c>
      <c r="F133" s="46"/>
      <c r="H133" s="137"/>
      <c r="I133" s="137"/>
      <c r="J133" s="137"/>
      <c r="K133" s="137"/>
      <c r="L133" s="137"/>
      <c r="M133" s="137"/>
      <c r="N133" s="251"/>
    </row>
    <row r="134" spans="1:14" x14ac:dyDescent="0.2">
      <c r="A134" s="14">
        <v>134</v>
      </c>
      <c r="H134" s="249"/>
      <c r="I134" s="249"/>
      <c r="J134" s="249"/>
      <c r="K134" s="249"/>
      <c r="L134" s="249"/>
      <c r="M134" s="249"/>
      <c r="N134" s="251"/>
    </row>
    <row r="135" spans="1:14" ht="12.75" x14ac:dyDescent="0.2">
      <c r="A135" s="14">
        <v>135</v>
      </c>
      <c r="B135" s="277" t="s">
        <v>519</v>
      </c>
      <c r="C135" s="46"/>
      <c r="D135" s="47"/>
      <c r="E135" s="46"/>
      <c r="F135" s="46"/>
      <c r="G135" s="46"/>
      <c r="H135" s="47"/>
      <c r="L135" s="14"/>
      <c r="M135" s="48"/>
      <c r="N135" s="251"/>
    </row>
    <row r="136" spans="1:14" ht="12.75" x14ac:dyDescent="0.2">
      <c r="A136" s="14">
        <v>136</v>
      </c>
      <c r="B136" s="46"/>
      <c r="C136" s="46"/>
      <c r="D136" s="47"/>
      <c r="E136" s="46"/>
      <c r="F136" s="46"/>
      <c r="G136" s="46"/>
      <c r="H136" s="47"/>
      <c r="L136" s="14"/>
      <c r="M136" s="48"/>
      <c r="N136" s="251"/>
    </row>
    <row r="137" spans="1:14" x14ac:dyDescent="0.2">
      <c r="A137" s="14">
        <v>137</v>
      </c>
      <c r="E137" s="18" t="s">
        <v>516</v>
      </c>
      <c r="F137" s="26">
        <f>FCAS!C163</f>
        <v>43010</v>
      </c>
      <c r="I137" s="18" t="s">
        <v>517</v>
      </c>
      <c r="J137" s="26">
        <f>FCAS!F163</f>
        <v>43040</v>
      </c>
      <c r="L137" s="18" t="s">
        <v>471</v>
      </c>
      <c r="M137" s="266">
        <f>(J137-F137)</f>
        <v>30</v>
      </c>
      <c r="N137" s="251"/>
    </row>
    <row r="138" spans="1:14" x14ac:dyDescent="0.2">
      <c r="A138" s="14">
        <v>138</v>
      </c>
      <c r="L138" s="18" t="s">
        <v>472</v>
      </c>
      <c r="M138" s="14">
        <f>IF(L142&gt;0,1,0)+IF(L143&gt;0,1,0)+IF(L144&gt;0,1,0)</f>
        <v>1</v>
      </c>
      <c r="N138" s="251"/>
    </row>
    <row r="139" spans="1:14" x14ac:dyDescent="0.2">
      <c r="A139" s="14">
        <v>139</v>
      </c>
      <c r="B139" s="763" t="s">
        <v>473</v>
      </c>
      <c r="C139" s="763"/>
      <c r="D139" s="763"/>
      <c r="E139" s="32"/>
      <c r="F139" s="32"/>
      <c r="G139" s="33" t="s">
        <v>474</v>
      </c>
      <c r="H139" s="33" t="s">
        <v>474</v>
      </c>
      <c r="I139" s="34" t="s">
        <v>23</v>
      </c>
      <c r="J139" s="34" t="s">
        <v>475</v>
      </c>
      <c r="K139" s="34" t="s">
        <v>23</v>
      </c>
      <c r="L139" s="32"/>
      <c r="M139" s="32"/>
      <c r="N139" s="251"/>
    </row>
    <row r="140" spans="1:14" x14ac:dyDescent="0.2">
      <c r="A140" s="14">
        <v>140</v>
      </c>
      <c r="B140" s="35" t="s">
        <v>384</v>
      </c>
      <c r="C140" s="36"/>
      <c r="D140" s="35" t="s">
        <v>384</v>
      </c>
      <c r="E140" s="37" t="s">
        <v>474</v>
      </c>
      <c r="F140" s="37" t="s">
        <v>474</v>
      </c>
      <c r="G140" s="38" t="s">
        <v>384</v>
      </c>
      <c r="H140" s="38" t="s">
        <v>384</v>
      </c>
      <c r="I140" s="34" t="s">
        <v>476</v>
      </c>
      <c r="J140" s="34" t="s">
        <v>477</v>
      </c>
      <c r="K140" s="34" t="s">
        <v>478</v>
      </c>
      <c r="L140" s="32"/>
      <c r="M140" s="32"/>
      <c r="N140" s="251"/>
    </row>
    <row r="141" spans="1:14" x14ac:dyDescent="0.2">
      <c r="A141" s="14">
        <v>141</v>
      </c>
      <c r="B141" s="35" t="s">
        <v>479</v>
      </c>
      <c r="C141" s="35" t="s">
        <v>56</v>
      </c>
      <c r="D141" s="35" t="s">
        <v>110</v>
      </c>
      <c r="E141" s="38" t="s">
        <v>109</v>
      </c>
      <c r="F141" s="38" t="s">
        <v>110</v>
      </c>
      <c r="G141" s="38" t="s">
        <v>109</v>
      </c>
      <c r="H141" s="38" t="s">
        <v>110</v>
      </c>
      <c r="I141" s="38" t="s">
        <v>480</v>
      </c>
      <c r="J141" s="38" t="s">
        <v>481</v>
      </c>
      <c r="K141" s="38" t="s">
        <v>482</v>
      </c>
      <c r="L141" s="38" t="s">
        <v>155</v>
      </c>
      <c r="M141" s="38" t="s">
        <v>502</v>
      </c>
      <c r="N141" s="251"/>
    </row>
    <row r="142" spans="1:14" x14ac:dyDescent="0.2">
      <c r="A142" s="14">
        <v>142</v>
      </c>
      <c r="B142" s="39">
        <f>_FCC1</f>
        <v>42491</v>
      </c>
      <c r="C142" s="40">
        <f>(D142-B142)</f>
        <v>364</v>
      </c>
      <c r="D142" s="39">
        <f>B142+364</f>
        <v>42855</v>
      </c>
      <c r="E142" s="41">
        <f>IF(AND(F137&gt;=B142,F137&lt;=D142),1,0)</f>
        <v>0</v>
      </c>
      <c r="F142" s="41">
        <f>IF(AND(J137&gt;=B142,J137&lt;=D142),1,0)</f>
        <v>0</v>
      </c>
      <c r="G142" s="42" t="b">
        <f>IF(E142=1,F137)</f>
        <v>0</v>
      </c>
      <c r="H142" s="42" t="b">
        <f>IF(F142=1,J137)</f>
        <v>0</v>
      </c>
      <c r="I142" s="13">
        <f>IF(IF(E142=1,F142=0),(D142-G142),0)</f>
        <v>0</v>
      </c>
      <c r="J142" s="13">
        <f>IF(AND(E142=1,F142=1),(H142-G142),0)</f>
        <v>0</v>
      </c>
      <c r="K142" s="13">
        <f>IF(AND(F142=1,E142=0),(H142-B142),0)</f>
        <v>0</v>
      </c>
      <c r="L142" s="13">
        <f>SUM(I142:K142)</f>
        <v>0</v>
      </c>
      <c r="M142" s="43">
        <f>IF(L142=0,0,IF($L$145=$M$137,L142,(L142+($M$137-$L$145)/$M$138)))</f>
        <v>0</v>
      </c>
      <c r="N142" s="251"/>
    </row>
    <row r="143" spans="1:14" x14ac:dyDescent="0.2">
      <c r="A143" s="14">
        <v>143</v>
      </c>
      <c r="B143" s="44">
        <f>_FCC2</f>
        <v>42856</v>
      </c>
      <c r="C143" s="45">
        <f>(D143-B143)</f>
        <v>364</v>
      </c>
      <c r="D143" s="39">
        <f>B143+364</f>
        <v>43220</v>
      </c>
      <c r="E143" s="41">
        <f>IF(AND(F137&gt;=B143,F137&lt;=D143),1,0)</f>
        <v>1</v>
      </c>
      <c r="F143" s="41">
        <f>IF(AND(J137&gt;=B143,J137&lt;=D143),1,0)</f>
        <v>1</v>
      </c>
      <c r="G143" s="42">
        <f>IF(E143=1,F137)</f>
        <v>43010</v>
      </c>
      <c r="H143" s="42">
        <f>IF(F143=1,J137)</f>
        <v>43040</v>
      </c>
      <c r="I143" s="13">
        <f>IF(IF(E143=1,F143=0),(D143-G143),0)</f>
        <v>0</v>
      </c>
      <c r="J143" s="13">
        <f>IF(AND(E143=1,F143=1),(H143-G143),0)</f>
        <v>30</v>
      </c>
      <c r="K143" s="13">
        <f>IF(AND(F143=1,E143=0),(H143-B143),0)</f>
        <v>0</v>
      </c>
      <c r="L143" s="13">
        <f>SUM(I143:K143)</f>
        <v>30</v>
      </c>
      <c r="M143" s="43">
        <f>IF(L143=0,0,IF($L$145=$M$137,L143,(L143+($M$137-$L$145)/$M$138)))</f>
        <v>30</v>
      </c>
      <c r="N143" s="251"/>
    </row>
    <row r="144" spans="1:14" x14ac:dyDescent="0.2">
      <c r="A144" s="14">
        <v>144</v>
      </c>
      <c r="B144" s="44">
        <f>_FCC3</f>
        <v>43221</v>
      </c>
      <c r="C144" s="45">
        <f>(D144-B144)</f>
        <v>364</v>
      </c>
      <c r="D144" s="39">
        <f>B144+364</f>
        <v>43585</v>
      </c>
      <c r="E144" s="41">
        <f>IF(AND(F137&gt;=B144,F137&lt;=D144),1,0)</f>
        <v>0</v>
      </c>
      <c r="F144" s="41">
        <f>IF(AND(J137&gt;=B144,J137&lt;=D144),1,0)</f>
        <v>0</v>
      </c>
      <c r="G144" s="42" t="b">
        <f>IF(E144=1,F137)</f>
        <v>0</v>
      </c>
      <c r="H144" s="42" t="b">
        <f>IF(F144=1,J137)</f>
        <v>0</v>
      </c>
      <c r="I144" s="13">
        <f>IF(IF(E144=1,F144=0),(D144-G144),0)</f>
        <v>0</v>
      </c>
      <c r="J144" s="13">
        <f>IF(AND(E144=1,F144=1),(H144-G144),0)</f>
        <v>0</v>
      </c>
      <c r="K144" s="13">
        <f>IF(AND(F144=1,E144=0),(H144-B144),0)</f>
        <v>0</v>
      </c>
      <c r="L144" s="13">
        <f>SUM(I144:K144)</f>
        <v>0</v>
      </c>
      <c r="M144" s="43">
        <f>IF(L144=0,0,IF($L$145=$M$137,L144,(L144+($M$137-$L$145)/$M$138)))</f>
        <v>0</v>
      </c>
      <c r="N144" s="251"/>
    </row>
    <row r="145" spans="1:14" ht="12.75" x14ac:dyDescent="0.2">
      <c r="A145" s="14">
        <v>145</v>
      </c>
      <c r="B145" s="46"/>
      <c r="C145" s="46"/>
      <c r="D145" s="47"/>
      <c r="E145" s="46"/>
      <c r="F145" s="46"/>
      <c r="G145" s="46"/>
      <c r="H145" s="47"/>
      <c r="L145" s="14">
        <f>SUM(L142:L144)</f>
        <v>30</v>
      </c>
      <c r="M145" s="267">
        <f>SUM(M142:M144)</f>
        <v>30</v>
      </c>
      <c r="N145" s="251"/>
    </row>
    <row r="146" spans="1:14" ht="12.75" x14ac:dyDescent="0.2">
      <c r="A146" s="14">
        <v>146</v>
      </c>
      <c r="B146" s="35" t="s">
        <v>384</v>
      </c>
      <c r="C146" s="35" t="s">
        <v>498</v>
      </c>
      <c r="D146" s="35"/>
      <c r="E146" s="35" t="s">
        <v>36</v>
      </c>
      <c r="F146" s="46"/>
      <c r="H146" s="137"/>
      <c r="I146" s="137"/>
      <c r="J146" s="137"/>
      <c r="K146" s="137"/>
      <c r="L146" s="137"/>
      <c r="M146" s="137"/>
      <c r="N146" s="251"/>
    </row>
    <row r="147" spans="1:14" x14ac:dyDescent="0.2">
      <c r="A147" s="14">
        <v>147</v>
      </c>
      <c r="B147" s="35" t="s">
        <v>479</v>
      </c>
      <c r="C147" s="35" t="s">
        <v>506</v>
      </c>
      <c r="D147" s="35" t="s">
        <v>56</v>
      </c>
      <c r="E147" s="35" t="s">
        <v>506</v>
      </c>
      <c r="F147" s="198" t="s">
        <v>266</v>
      </c>
      <c r="H147" s="137"/>
      <c r="I147" s="137"/>
      <c r="J147" s="137"/>
      <c r="K147" s="137"/>
      <c r="L147" s="137"/>
      <c r="M147" s="137"/>
      <c r="N147" s="251"/>
    </row>
    <row r="148" spans="1:14" x14ac:dyDescent="0.2">
      <c r="A148" s="14">
        <v>148</v>
      </c>
      <c r="B148" s="39">
        <f>_FCC1</f>
        <v>42491</v>
      </c>
      <c r="C148" s="262">
        <f>VARIABLES!$C$33*VUT</f>
        <v>9300</v>
      </c>
      <c r="D148" s="262">
        <f>M142</f>
        <v>0</v>
      </c>
      <c r="E148" s="263">
        <f>(C148*D148)</f>
        <v>0</v>
      </c>
      <c r="F148" s="159" t="s">
        <v>506</v>
      </c>
      <c r="H148" s="137"/>
      <c r="I148" s="137"/>
      <c r="J148" s="137"/>
      <c r="K148" s="137"/>
      <c r="L148" s="137"/>
      <c r="M148" s="137"/>
      <c r="N148" s="251"/>
    </row>
    <row r="149" spans="1:14" x14ac:dyDescent="0.2">
      <c r="A149" s="14">
        <v>149</v>
      </c>
      <c r="B149" s="44">
        <f>_FCC2</f>
        <v>42856</v>
      </c>
      <c r="C149" s="262">
        <f>VARIABLES!$C$33*VUT</f>
        <v>9300</v>
      </c>
      <c r="D149" s="262">
        <f>M143</f>
        <v>30</v>
      </c>
      <c r="E149" s="263">
        <f>(C149*D149)</f>
        <v>279000</v>
      </c>
      <c r="F149" s="197">
        <f>(E151/D151)</f>
        <v>9300</v>
      </c>
      <c r="H149" s="137"/>
      <c r="I149" s="137"/>
      <c r="J149" s="137"/>
      <c r="K149" s="137"/>
      <c r="L149" s="137"/>
      <c r="M149" s="137"/>
      <c r="N149" s="251"/>
    </row>
    <row r="150" spans="1:14" x14ac:dyDescent="0.2">
      <c r="A150" s="14">
        <v>150</v>
      </c>
      <c r="B150" s="44">
        <f>_FCC3</f>
        <v>43221</v>
      </c>
      <c r="C150" s="262">
        <f>VARIABLES!$C$33*VUT</f>
        <v>9300</v>
      </c>
      <c r="D150" s="262">
        <f>M144</f>
        <v>0</v>
      </c>
      <c r="E150" s="263">
        <f>(C150*D150)</f>
        <v>0</v>
      </c>
      <c r="H150" s="137"/>
      <c r="I150" s="137"/>
      <c r="J150" s="137"/>
      <c r="K150" s="137"/>
      <c r="L150" s="137"/>
      <c r="M150" s="137"/>
      <c r="N150" s="251"/>
    </row>
    <row r="151" spans="1:14" ht="12.75" x14ac:dyDescent="0.2">
      <c r="A151" s="14">
        <v>151</v>
      </c>
      <c r="B151" s="46"/>
      <c r="C151" s="46"/>
      <c r="D151" s="262">
        <f>SUM(D148:D150)</f>
        <v>30</v>
      </c>
      <c r="E151" s="263">
        <f>SUM(E148:E150)</f>
        <v>279000</v>
      </c>
      <c r="F151" s="46"/>
      <c r="H151" s="137"/>
      <c r="I151" s="137"/>
      <c r="J151" s="137"/>
      <c r="K151" s="137"/>
      <c r="L151" s="137"/>
      <c r="M151" s="137"/>
      <c r="N151" s="251"/>
    </row>
    <row r="152" spans="1:14" x14ac:dyDescent="0.2">
      <c r="A152" s="14">
        <v>152</v>
      </c>
      <c r="H152" s="249"/>
      <c r="I152" s="249"/>
      <c r="J152" s="249"/>
      <c r="K152" s="249"/>
      <c r="L152" s="249"/>
      <c r="M152" s="249"/>
      <c r="N152" s="251"/>
    </row>
    <row r="153" spans="1:14" x14ac:dyDescent="0.2">
      <c r="A153" s="14">
        <v>153</v>
      </c>
      <c r="H153" s="249"/>
      <c r="I153" s="249"/>
      <c r="J153" s="249"/>
      <c r="K153" s="249"/>
      <c r="L153" s="249"/>
      <c r="M153" s="249"/>
      <c r="N153" s="251"/>
    </row>
    <row r="154" spans="1:14" x14ac:dyDescent="0.2">
      <c r="A154" s="14">
        <v>154</v>
      </c>
      <c r="B154" s="260" t="s">
        <v>520</v>
      </c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51"/>
    </row>
    <row r="155" spans="1:14" x14ac:dyDescent="0.2">
      <c r="A155" s="14">
        <v>155</v>
      </c>
      <c r="H155" s="249"/>
      <c r="I155" s="249"/>
      <c r="J155" s="249"/>
      <c r="K155" s="249"/>
      <c r="L155" s="249"/>
      <c r="M155" s="249"/>
      <c r="N155" s="251"/>
    </row>
    <row r="156" spans="1:14" x14ac:dyDescent="0.2">
      <c r="A156" s="14">
        <v>156</v>
      </c>
      <c r="E156" s="18" t="s">
        <v>469</v>
      </c>
      <c r="F156" s="26">
        <f>FIPROY</f>
        <v>43010</v>
      </c>
      <c r="I156" s="18" t="s">
        <v>470</v>
      </c>
      <c r="J156" s="26">
        <f>FFPROY</f>
        <v>43375</v>
      </c>
      <c r="L156" s="18" t="s">
        <v>471</v>
      </c>
      <c r="M156" s="266">
        <f>(J156-F156)</f>
        <v>365</v>
      </c>
      <c r="N156" s="251"/>
    </row>
    <row r="157" spans="1:14" x14ac:dyDescent="0.2">
      <c r="A157" s="14">
        <v>157</v>
      </c>
      <c r="L157" s="18" t="s">
        <v>472</v>
      </c>
      <c r="M157" s="14">
        <f>IF(L161&gt;0,1,0)+IF(L162&gt;0,1,0)+IF(L163&gt;0,1,0)</f>
        <v>2</v>
      </c>
      <c r="N157" s="251"/>
    </row>
    <row r="158" spans="1:14" x14ac:dyDescent="0.2">
      <c r="A158" s="14">
        <v>158</v>
      </c>
      <c r="B158" s="763" t="s">
        <v>473</v>
      </c>
      <c r="C158" s="763"/>
      <c r="D158" s="763"/>
      <c r="E158" s="32"/>
      <c r="F158" s="32"/>
      <c r="G158" s="33" t="s">
        <v>474</v>
      </c>
      <c r="H158" s="33" t="s">
        <v>474</v>
      </c>
      <c r="I158" s="34" t="s">
        <v>23</v>
      </c>
      <c r="J158" s="34" t="s">
        <v>475</v>
      </c>
      <c r="K158" s="34" t="s">
        <v>23</v>
      </c>
      <c r="L158" s="32"/>
      <c r="M158" s="32"/>
      <c r="N158" s="251"/>
    </row>
    <row r="159" spans="1:14" x14ac:dyDescent="0.2">
      <c r="A159" s="14">
        <v>159</v>
      </c>
      <c r="B159" s="35" t="s">
        <v>384</v>
      </c>
      <c r="C159" s="36"/>
      <c r="D159" s="35" t="s">
        <v>384</v>
      </c>
      <c r="E159" s="37" t="s">
        <v>474</v>
      </c>
      <c r="F159" s="37" t="s">
        <v>474</v>
      </c>
      <c r="G159" s="38" t="s">
        <v>384</v>
      </c>
      <c r="H159" s="38" t="s">
        <v>384</v>
      </c>
      <c r="I159" s="34" t="s">
        <v>476</v>
      </c>
      <c r="J159" s="34" t="s">
        <v>477</v>
      </c>
      <c r="K159" s="34" t="s">
        <v>478</v>
      </c>
      <c r="L159" s="32"/>
      <c r="M159" s="32"/>
      <c r="N159" s="251"/>
    </row>
    <row r="160" spans="1:14" x14ac:dyDescent="0.2">
      <c r="A160" s="14">
        <v>160</v>
      </c>
      <c r="B160" s="35" t="s">
        <v>479</v>
      </c>
      <c r="C160" s="35" t="s">
        <v>56</v>
      </c>
      <c r="D160" s="35" t="s">
        <v>110</v>
      </c>
      <c r="E160" s="38" t="s">
        <v>109</v>
      </c>
      <c r="F160" s="38" t="s">
        <v>110</v>
      </c>
      <c r="G160" s="38" t="s">
        <v>109</v>
      </c>
      <c r="H160" s="38" t="s">
        <v>110</v>
      </c>
      <c r="I160" s="38" t="s">
        <v>480</v>
      </c>
      <c r="J160" s="38" t="s">
        <v>481</v>
      </c>
      <c r="K160" s="38" t="s">
        <v>482</v>
      </c>
      <c r="L160" s="38" t="s">
        <v>155</v>
      </c>
      <c r="M160" s="38" t="s">
        <v>502</v>
      </c>
      <c r="N160" s="251"/>
    </row>
    <row r="161" spans="1:14" x14ac:dyDescent="0.2">
      <c r="A161" s="14">
        <v>161</v>
      </c>
      <c r="B161" s="39">
        <f>_FCC1</f>
        <v>42491</v>
      </c>
      <c r="C161" s="40">
        <f>(D161-B161)</f>
        <v>364</v>
      </c>
      <c r="D161" s="39">
        <f>B161+364</f>
        <v>42855</v>
      </c>
      <c r="E161" s="41">
        <f>IF(AND(F156&gt;=B161,F156&lt;=D161),1,0)</f>
        <v>0</v>
      </c>
      <c r="F161" s="41">
        <f>IF(AND(J156&gt;=B161,J156&lt;=D161),1,0)</f>
        <v>0</v>
      </c>
      <c r="G161" s="42" t="b">
        <f>IF(E161=1,F156)</f>
        <v>0</v>
      </c>
      <c r="H161" s="42" t="b">
        <f>IF(F161=1,J156)</f>
        <v>0</v>
      </c>
      <c r="I161" s="13">
        <f>IF(IF(E161=1,F161=0),(D161-G161),0)</f>
        <v>0</v>
      </c>
      <c r="J161" s="13">
        <f>IF(AND(E161=1,F161=1),(H161-G161),0)</f>
        <v>0</v>
      </c>
      <c r="K161" s="13">
        <f>IF(AND(F161=1,E161=0),(H161-B161),0)</f>
        <v>0</v>
      </c>
      <c r="L161" s="13">
        <f>SUM(I161:K161)</f>
        <v>0</v>
      </c>
      <c r="M161" s="43">
        <f>IF(L161=0,0,IF($L$164=$M$156,L161,(L161+($M$156-$L$164)/$M$157)))</f>
        <v>0</v>
      </c>
      <c r="N161" s="251"/>
    </row>
    <row r="162" spans="1:14" x14ac:dyDescent="0.2">
      <c r="A162" s="14">
        <v>162</v>
      </c>
      <c r="B162" s="44">
        <f>_FCC2</f>
        <v>42856</v>
      </c>
      <c r="C162" s="45">
        <f>(D162-B162)</f>
        <v>364</v>
      </c>
      <c r="D162" s="39">
        <f>B162+364</f>
        <v>43220</v>
      </c>
      <c r="E162" s="41">
        <f>IF(AND(F156&gt;=B162,F156&lt;=D162),1,0)</f>
        <v>1</v>
      </c>
      <c r="F162" s="41">
        <f>IF(AND(J156&gt;=B162,J156&lt;=D162),1,0)</f>
        <v>0</v>
      </c>
      <c r="G162" s="42">
        <f>IF(E162=1,F156)</f>
        <v>43010</v>
      </c>
      <c r="H162" s="42" t="b">
        <f>IF(F162=1,J156)</f>
        <v>0</v>
      </c>
      <c r="I162" s="13">
        <f>IF(IF(E162=1,F162=0),(D162-G162),0)</f>
        <v>210</v>
      </c>
      <c r="J162" s="13">
        <f>IF(AND(E162=1,F162=1),(H162-G162),0)</f>
        <v>0</v>
      </c>
      <c r="K162" s="13">
        <f>IF(AND(F162=1,E162=0),(H162-B162),0)</f>
        <v>0</v>
      </c>
      <c r="L162" s="13">
        <f>SUM(I162:K162)</f>
        <v>210</v>
      </c>
      <c r="M162" s="43">
        <f>IF(L162=0,0,IF($L$164=$M$156,L162,(L162+($M$156-$L$164)/$M$157)))</f>
        <v>210.5</v>
      </c>
      <c r="N162" s="251"/>
    </row>
    <row r="163" spans="1:14" x14ac:dyDescent="0.2">
      <c r="A163" s="14">
        <v>163</v>
      </c>
      <c r="B163" s="44">
        <f>_FCC3</f>
        <v>43221</v>
      </c>
      <c r="C163" s="45">
        <f>(D163-B163)</f>
        <v>364</v>
      </c>
      <c r="D163" s="39">
        <f>B163+364</f>
        <v>43585</v>
      </c>
      <c r="E163" s="41">
        <f>IF(AND(F156&gt;=B163,F156&lt;=D163),1,0)</f>
        <v>0</v>
      </c>
      <c r="F163" s="41">
        <f>IF(AND(J156&gt;=B163,J156&lt;=D163),1,0)</f>
        <v>1</v>
      </c>
      <c r="G163" s="42" t="b">
        <f>IF(E163=1,F156)</f>
        <v>0</v>
      </c>
      <c r="H163" s="42">
        <f>IF(F163=1,J156)</f>
        <v>43375</v>
      </c>
      <c r="I163" s="13">
        <f>IF(IF(E163=1,F163=0),(D163-G163),0)</f>
        <v>0</v>
      </c>
      <c r="J163" s="13">
        <f>IF(AND(E163=1,F163=1),(H163-G163),0)</f>
        <v>0</v>
      </c>
      <c r="K163" s="13">
        <f>IF(AND(F163=1,E163=0),(H163-B163),0)</f>
        <v>154</v>
      </c>
      <c r="L163" s="13">
        <f>SUM(I163:K163)</f>
        <v>154</v>
      </c>
      <c r="M163" s="43">
        <f>IF(L163=0,0,IF($L$164=$M$156,L163,(L163+($M$156-$L$164)/$M$157)))</f>
        <v>154.5</v>
      </c>
      <c r="N163" s="251"/>
    </row>
    <row r="164" spans="1:14" ht="12.75" x14ac:dyDescent="0.2">
      <c r="A164" s="14">
        <v>164</v>
      </c>
      <c r="B164" s="46"/>
      <c r="C164" s="46"/>
      <c r="D164" s="47"/>
      <c r="E164" s="46"/>
      <c r="F164" s="46"/>
      <c r="G164" s="46"/>
      <c r="H164" s="47"/>
      <c r="L164" s="14">
        <f>SUM(L161:L163)</f>
        <v>364</v>
      </c>
      <c r="M164" s="267">
        <f>SUM(M161:M163)</f>
        <v>365</v>
      </c>
      <c r="N164" s="251"/>
    </row>
    <row r="165" spans="1:14" x14ac:dyDescent="0.2">
      <c r="A165" s="14">
        <v>165</v>
      </c>
      <c r="H165" s="249"/>
      <c r="I165" s="249"/>
      <c r="J165" s="249"/>
      <c r="K165" s="249"/>
      <c r="L165" s="249"/>
      <c r="M165" s="249"/>
      <c r="N165" s="251"/>
    </row>
    <row r="166" spans="1:14" x14ac:dyDescent="0.2">
      <c r="A166" s="14">
        <v>166</v>
      </c>
      <c r="H166" s="249"/>
      <c r="I166" s="249"/>
      <c r="J166" s="249"/>
      <c r="K166" s="249"/>
      <c r="L166" s="249"/>
      <c r="M166" s="249"/>
      <c r="N166" s="251"/>
    </row>
    <row r="167" spans="1:14" x14ac:dyDescent="0.2">
      <c r="A167" s="14">
        <v>167</v>
      </c>
      <c r="B167" s="35" t="s">
        <v>384</v>
      </c>
      <c r="C167" s="35"/>
      <c r="D167" s="35"/>
      <c r="E167" s="35" t="s">
        <v>36</v>
      </c>
      <c r="F167" s="198" t="s">
        <v>266</v>
      </c>
      <c r="H167" s="35" t="s">
        <v>384</v>
      </c>
      <c r="I167" s="35"/>
      <c r="J167" s="35"/>
      <c r="K167" s="35" t="s">
        <v>36</v>
      </c>
      <c r="L167" s="198" t="s">
        <v>266</v>
      </c>
      <c r="M167" s="249"/>
      <c r="N167" s="251"/>
    </row>
    <row r="168" spans="1:14" x14ac:dyDescent="0.2">
      <c r="A168" s="14">
        <v>168</v>
      </c>
      <c r="B168" s="35" t="s">
        <v>479</v>
      </c>
      <c r="C168" s="35" t="s">
        <v>56</v>
      </c>
      <c r="D168" s="35" t="s">
        <v>56</v>
      </c>
      <c r="E168" s="35" t="s">
        <v>56</v>
      </c>
      <c r="F168" s="198" t="s">
        <v>56</v>
      </c>
      <c r="H168" s="35" t="s">
        <v>479</v>
      </c>
      <c r="I168" s="35" t="s">
        <v>56</v>
      </c>
      <c r="J168" s="35" t="s">
        <v>56</v>
      </c>
      <c r="K168" s="35" t="s">
        <v>56</v>
      </c>
      <c r="L168" s="198" t="s">
        <v>56</v>
      </c>
      <c r="M168" s="249"/>
      <c r="N168" s="251"/>
    </row>
    <row r="169" spans="1:14" x14ac:dyDescent="0.2">
      <c r="A169" s="14">
        <v>169</v>
      </c>
      <c r="B169" s="39">
        <f>_FCC1</f>
        <v>42491</v>
      </c>
      <c r="C169" s="732" t="s">
        <v>406</v>
      </c>
      <c r="D169" s="262">
        <f>M161</f>
        <v>0</v>
      </c>
      <c r="E169" s="263">
        <f>(C169*D169)</f>
        <v>0</v>
      </c>
      <c r="F169" s="159" t="s">
        <v>521</v>
      </c>
      <c r="H169" s="39">
        <f>_FCC1</f>
        <v>42491</v>
      </c>
      <c r="I169" s="732" t="s">
        <v>522</v>
      </c>
      <c r="J169" s="262">
        <f>M161</f>
        <v>0</v>
      </c>
      <c r="K169" s="263">
        <f>(I169*J169)</f>
        <v>0</v>
      </c>
      <c r="L169" s="159" t="s">
        <v>521</v>
      </c>
      <c r="M169" s="249"/>
      <c r="N169" s="251"/>
    </row>
    <row r="170" spans="1:14" x14ac:dyDescent="0.2">
      <c r="A170" s="14">
        <v>170</v>
      </c>
      <c r="B170" s="44">
        <f>_FCC2</f>
        <v>42856</v>
      </c>
      <c r="C170" s="732" t="s">
        <v>406</v>
      </c>
      <c r="D170" s="262">
        <f>M162</f>
        <v>210.5</v>
      </c>
      <c r="E170" s="263">
        <f>(C170*D170)</f>
        <v>3578.5</v>
      </c>
      <c r="F170" s="197">
        <f>(E172/D172)</f>
        <v>17</v>
      </c>
      <c r="H170" s="44">
        <f>_FCC2</f>
        <v>42856</v>
      </c>
      <c r="I170" s="732" t="s">
        <v>522</v>
      </c>
      <c r="J170" s="262">
        <f>M162</f>
        <v>210.5</v>
      </c>
      <c r="K170" s="263">
        <f>(I170*J170)</f>
        <v>16840</v>
      </c>
      <c r="L170" s="197">
        <f>(K172/J172)</f>
        <v>80</v>
      </c>
      <c r="M170" s="249"/>
      <c r="N170" s="251"/>
    </row>
    <row r="171" spans="1:14" x14ac:dyDescent="0.2">
      <c r="A171" s="14">
        <v>171</v>
      </c>
      <c r="B171" s="44">
        <f>_FCC3</f>
        <v>43221</v>
      </c>
      <c r="C171" s="732" t="s">
        <v>406</v>
      </c>
      <c r="D171" s="262">
        <f>M163</f>
        <v>154.5</v>
      </c>
      <c r="E171" s="263">
        <f>(C171*D171)</f>
        <v>2626.5</v>
      </c>
      <c r="H171" s="44">
        <f>_FCC3</f>
        <v>43221</v>
      </c>
      <c r="I171" s="732" t="s">
        <v>522</v>
      </c>
      <c r="J171" s="262">
        <f>M163</f>
        <v>154.5</v>
      </c>
      <c r="K171" s="263">
        <f>(I171*J171)</f>
        <v>12360</v>
      </c>
      <c r="M171" s="249"/>
      <c r="N171" s="251"/>
    </row>
    <row r="172" spans="1:14" ht="12.75" x14ac:dyDescent="0.2">
      <c r="A172" s="14">
        <v>172</v>
      </c>
      <c r="B172" s="46"/>
      <c r="C172" s="46"/>
      <c r="D172" s="262">
        <f>SUM(D169:D171)</f>
        <v>365</v>
      </c>
      <c r="E172" s="263">
        <f>SUM(E169:E171)</f>
        <v>6205</v>
      </c>
      <c r="F172" s="46"/>
      <c r="H172" s="46"/>
      <c r="I172" s="46"/>
      <c r="J172" s="262">
        <f>SUM(J169:J171)</f>
        <v>365</v>
      </c>
      <c r="K172" s="263">
        <f>SUM(K169:K171)</f>
        <v>29200</v>
      </c>
      <c r="L172" s="46"/>
      <c r="M172" s="249"/>
      <c r="N172" s="251"/>
    </row>
    <row r="173" spans="1:14" x14ac:dyDescent="0.2">
      <c r="A173" s="14">
        <v>173</v>
      </c>
      <c r="H173" s="249"/>
      <c r="I173" s="249"/>
      <c r="J173" s="249"/>
      <c r="K173" s="249"/>
      <c r="L173" s="249"/>
      <c r="M173" s="249"/>
      <c r="N173" s="251"/>
    </row>
    <row r="174" spans="1:14" x14ac:dyDescent="0.2">
      <c r="A174" s="14">
        <v>174</v>
      </c>
      <c r="F174" s="198" t="s">
        <v>523</v>
      </c>
      <c r="H174" s="249"/>
      <c r="I174" s="249"/>
      <c r="J174" s="249"/>
      <c r="K174" s="249"/>
      <c r="L174" s="198" t="s">
        <v>523</v>
      </c>
      <c r="M174" s="249"/>
      <c r="N174" s="251"/>
    </row>
    <row r="175" spans="1:14" x14ac:dyDescent="0.2">
      <c r="A175" s="14">
        <v>175</v>
      </c>
      <c r="F175" s="159" t="s">
        <v>429</v>
      </c>
      <c r="H175" s="249"/>
      <c r="I175" s="249"/>
      <c r="J175" s="249"/>
      <c r="K175" s="249"/>
      <c r="L175" s="159" t="s">
        <v>429</v>
      </c>
      <c r="M175" s="249"/>
      <c r="N175" s="251"/>
    </row>
    <row r="176" spans="1:14" x14ac:dyDescent="0.2">
      <c r="A176" s="14">
        <v>176</v>
      </c>
      <c r="F176" s="159" t="s">
        <v>524</v>
      </c>
      <c r="H176" s="249"/>
      <c r="I176" s="249"/>
      <c r="J176" s="249"/>
      <c r="K176" s="249"/>
      <c r="L176" s="159" t="s">
        <v>524</v>
      </c>
      <c r="M176" s="249"/>
      <c r="N176" s="251"/>
    </row>
    <row r="177" spans="1:14" x14ac:dyDescent="0.2">
      <c r="A177" s="14">
        <v>177</v>
      </c>
      <c r="F177" s="278">
        <f>(F170/365)</f>
        <v>4.6600000000000003E-2</v>
      </c>
      <c r="G177" t="s">
        <v>56</v>
      </c>
      <c r="H177" s="249"/>
      <c r="I177" s="249"/>
      <c r="J177" s="249"/>
      <c r="K177" s="249"/>
      <c r="L177" s="278">
        <f>(L170/365)</f>
        <v>0.21920000000000001</v>
      </c>
      <c r="M177" s="280" t="s">
        <v>56</v>
      </c>
      <c r="N177" s="251"/>
    </row>
    <row r="178" spans="1:14" x14ac:dyDescent="0.2">
      <c r="A178" s="14">
        <v>178</v>
      </c>
      <c r="H178" s="249"/>
      <c r="I178" s="249"/>
      <c r="J178" s="249"/>
      <c r="K178" s="249"/>
      <c r="L178" s="249"/>
      <c r="M178" s="249"/>
      <c r="N178" s="251"/>
    </row>
    <row r="179" spans="1:14" x14ac:dyDescent="0.2">
      <c r="A179" s="14">
        <v>179</v>
      </c>
      <c r="B179" s="260" t="s">
        <v>525</v>
      </c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51"/>
    </row>
    <row r="180" spans="1:14" x14ac:dyDescent="0.2">
      <c r="A180" s="14">
        <v>180</v>
      </c>
      <c r="H180" s="249"/>
      <c r="I180" s="249"/>
      <c r="J180" s="249"/>
      <c r="K180" s="249"/>
      <c r="L180" s="249"/>
      <c r="M180" s="249"/>
      <c r="N180" s="251"/>
    </row>
    <row r="181" spans="1:14" x14ac:dyDescent="0.2">
      <c r="A181" s="14">
        <v>181</v>
      </c>
      <c r="E181" s="18" t="s">
        <v>469</v>
      </c>
      <c r="F181" s="26">
        <f>FIPROY</f>
        <v>43010</v>
      </c>
      <c r="I181" s="18" t="s">
        <v>470</v>
      </c>
      <c r="J181" s="26">
        <f>FFPROY</f>
        <v>43375</v>
      </c>
      <c r="L181" s="18" t="s">
        <v>471</v>
      </c>
      <c r="M181" s="266">
        <f>(J181-F181)</f>
        <v>365</v>
      </c>
      <c r="N181" s="251"/>
    </row>
    <row r="182" spans="1:14" x14ac:dyDescent="0.2">
      <c r="A182" s="14">
        <v>182</v>
      </c>
      <c r="L182" s="18" t="s">
        <v>472</v>
      </c>
      <c r="M182" s="14">
        <f>IF(L186&gt;0,1,0)+IF(L187&gt;0,1,0)+IF(L188&gt;0,1,0)</f>
        <v>2</v>
      </c>
      <c r="N182" s="251"/>
    </row>
    <row r="183" spans="1:14" x14ac:dyDescent="0.2">
      <c r="A183" s="14">
        <v>183</v>
      </c>
      <c r="B183" s="763" t="s">
        <v>473</v>
      </c>
      <c r="C183" s="763"/>
      <c r="D183" s="763"/>
      <c r="E183" s="32"/>
      <c r="F183" s="32"/>
      <c r="G183" s="33" t="s">
        <v>474</v>
      </c>
      <c r="H183" s="33" t="s">
        <v>474</v>
      </c>
      <c r="I183" s="34" t="s">
        <v>23</v>
      </c>
      <c r="J183" s="34" t="s">
        <v>475</v>
      </c>
      <c r="K183" s="34" t="s">
        <v>23</v>
      </c>
      <c r="L183" s="32"/>
      <c r="M183" s="32"/>
      <c r="N183" s="251"/>
    </row>
    <row r="184" spans="1:14" x14ac:dyDescent="0.2">
      <c r="A184" s="14">
        <v>184</v>
      </c>
      <c r="B184" s="35" t="s">
        <v>384</v>
      </c>
      <c r="C184" s="36"/>
      <c r="D184" s="35" t="s">
        <v>384</v>
      </c>
      <c r="E184" s="37" t="s">
        <v>474</v>
      </c>
      <c r="F184" s="37" t="s">
        <v>474</v>
      </c>
      <c r="G184" s="38" t="s">
        <v>384</v>
      </c>
      <c r="H184" s="38" t="s">
        <v>384</v>
      </c>
      <c r="I184" s="34" t="s">
        <v>476</v>
      </c>
      <c r="J184" s="34" t="s">
        <v>477</v>
      </c>
      <c r="K184" s="34" t="s">
        <v>478</v>
      </c>
      <c r="L184" s="32"/>
      <c r="M184" s="32"/>
      <c r="N184" s="251"/>
    </row>
    <row r="185" spans="1:14" x14ac:dyDescent="0.2">
      <c r="A185" s="14">
        <v>185</v>
      </c>
      <c r="B185" s="35" t="s">
        <v>479</v>
      </c>
      <c r="C185" s="35" t="s">
        <v>56</v>
      </c>
      <c r="D185" s="35" t="s">
        <v>110</v>
      </c>
      <c r="E185" s="38" t="s">
        <v>109</v>
      </c>
      <c r="F185" s="38" t="s">
        <v>110</v>
      </c>
      <c r="G185" s="38" t="s">
        <v>109</v>
      </c>
      <c r="H185" s="38" t="s">
        <v>110</v>
      </c>
      <c r="I185" s="38" t="s">
        <v>480</v>
      </c>
      <c r="J185" s="38" t="s">
        <v>481</v>
      </c>
      <c r="K185" s="38" t="s">
        <v>482</v>
      </c>
      <c r="L185" s="38" t="s">
        <v>155</v>
      </c>
      <c r="M185" s="38" t="s">
        <v>502</v>
      </c>
      <c r="N185" s="251"/>
    </row>
    <row r="186" spans="1:14" x14ac:dyDescent="0.2">
      <c r="A186" s="14">
        <v>186</v>
      </c>
      <c r="B186" s="39">
        <f>_FCC1</f>
        <v>42491</v>
      </c>
      <c r="C186" s="40">
        <f>(D186-B186)</f>
        <v>364</v>
      </c>
      <c r="D186" s="39">
        <f>B186+364</f>
        <v>42855</v>
      </c>
      <c r="E186" s="41">
        <f>IF(AND(F181&gt;=B186,F181&lt;=D186),1,0)</f>
        <v>0</v>
      </c>
      <c r="F186" s="41">
        <f>IF(AND(J181&gt;=B186,J181&lt;=D186),1,0)</f>
        <v>0</v>
      </c>
      <c r="G186" s="42" t="b">
        <f>IF(E186=1,F181)</f>
        <v>0</v>
      </c>
      <c r="H186" s="42" t="b">
        <f>IF(F186=1,J181)</f>
        <v>0</v>
      </c>
      <c r="I186" s="13">
        <f>IF(IF(E186=1,F186=0),(D186-G186),0)</f>
        <v>0</v>
      </c>
      <c r="J186" s="13">
        <f>IF(AND(E186=1,F186=1),(H186-G186),0)</f>
        <v>0</v>
      </c>
      <c r="K186" s="13">
        <f>IF(AND(F186=1,E186=0),(H186-B186),0)</f>
        <v>0</v>
      </c>
      <c r="L186" s="13">
        <f>SUM(I186:K186)</f>
        <v>0</v>
      </c>
      <c r="M186" s="43">
        <f>IF(L186=0,0,IF($L$189=$M$181,L186,(L186+($M$181-$L$189)/$M$182)))</f>
        <v>0</v>
      </c>
      <c r="N186" s="251"/>
    </row>
    <row r="187" spans="1:14" x14ac:dyDescent="0.2">
      <c r="A187" s="14">
        <v>187</v>
      </c>
      <c r="B187" s="44">
        <f>_FCC2</f>
        <v>42856</v>
      </c>
      <c r="C187" s="45">
        <f>(D187-B187)</f>
        <v>364</v>
      </c>
      <c r="D187" s="39">
        <f>B187+364</f>
        <v>43220</v>
      </c>
      <c r="E187" s="41">
        <f>IF(AND(F181&gt;=B187,F181&lt;=D187),1,0)</f>
        <v>1</v>
      </c>
      <c r="F187" s="41">
        <f>IF(AND(J181&gt;=B187,J181&lt;=D187),1,0)</f>
        <v>0</v>
      </c>
      <c r="G187" s="42">
        <f>IF(E187=1,F181)</f>
        <v>43010</v>
      </c>
      <c r="H187" s="42" t="b">
        <f>IF(F187=1,J181)</f>
        <v>0</v>
      </c>
      <c r="I187" s="13">
        <f>IF(IF(E187=1,F187=0),(D187-G187),0)</f>
        <v>210</v>
      </c>
      <c r="J187" s="13">
        <f>IF(AND(E187=1,F187=1),(H187-G187),0)</f>
        <v>0</v>
      </c>
      <c r="K187" s="13">
        <f>IF(AND(F187=1,E187=0),(H187-B187),0)</f>
        <v>0</v>
      </c>
      <c r="L187" s="13">
        <f>SUM(I187:K187)</f>
        <v>210</v>
      </c>
      <c r="M187" s="43">
        <f>IF(L187=0,0,IF($L$189=$M$181,L187,(L187+($M$181-$L$189)/$M$182)))</f>
        <v>210.5</v>
      </c>
      <c r="N187" s="251"/>
    </row>
    <row r="188" spans="1:14" x14ac:dyDescent="0.2">
      <c r="A188" s="14">
        <v>188</v>
      </c>
      <c r="B188" s="44">
        <f>_FCC3</f>
        <v>43221</v>
      </c>
      <c r="C188" s="45">
        <f>(D188-B188)</f>
        <v>364</v>
      </c>
      <c r="D188" s="39">
        <f>B188+364</f>
        <v>43585</v>
      </c>
      <c r="E188" s="41">
        <f>IF(AND(F181&gt;=B188,F181&lt;=D188),1,0)</f>
        <v>0</v>
      </c>
      <c r="F188" s="41">
        <f>IF(AND(J181&gt;=B188,J181&lt;=D188),1,0)</f>
        <v>1</v>
      </c>
      <c r="G188" s="42" t="b">
        <f>IF(E188=1,F181)</f>
        <v>0</v>
      </c>
      <c r="H188" s="42">
        <f>IF(F188=1,J181)</f>
        <v>43375</v>
      </c>
      <c r="I188" s="13">
        <f>IF(IF(E188=1,F188=0),(D188-G188),0)</f>
        <v>0</v>
      </c>
      <c r="J188" s="13">
        <f>IF(AND(E188=1,F188=1),(H188-G188),0)</f>
        <v>0</v>
      </c>
      <c r="K188" s="13">
        <f>IF(AND(F188=1,E188=0),(H188-B188),0)</f>
        <v>154</v>
      </c>
      <c r="L188" s="13">
        <f>SUM(I188:K188)</f>
        <v>154</v>
      </c>
      <c r="M188" s="43">
        <f>IF(L188=0,0,IF($L$189=$M$181,L188,(L188+($M$181-$L$189)/$M$182)))</f>
        <v>154.5</v>
      </c>
      <c r="N188" s="251"/>
    </row>
    <row r="189" spans="1:14" ht="12.75" x14ac:dyDescent="0.2">
      <c r="A189" s="14">
        <v>189</v>
      </c>
      <c r="B189" s="46"/>
      <c r="C189" s="46"/>
      <c r="D189" s="47"/>
      <c r="E189" s="46"/>
      <c r="F189" s="46"/>
      <c r="G189" s="46"/>
      <c r="H189" s="47"/>
      <c r="L189" s="14">
        <f>SUM(L186:L188)</f>
        <v>364</v>
      </c>
      <c r="M189" s="267">
        <f>SUM(M186:M188)</f>
        <v>365</v>
      </c>
      <c r="N189" s="251"/>
    </row>
    <row r="190" spans="1:14" x14ac:dyDescent="0.2">
      <c r="A190" s="14">
        <v>190</v>
      </c>
      <c r="B190" s="35" t="s">
        <v>384</v>
      </c>
      <c r="C190" s="35"/>
      <c r="D190" s="35"/>
      <c r="E190" s="35" t="s">
        <v>36</v>
      </c>
      <c r="F190" s="198" t="s">
        <v>266</v>
      </c>
      <c r="J190" s="198" t="s">
        <v>523</v>
      </c>
      <c r="L190" s="249"/>
      <c r="M190" s="249"/>
      <c r="N190" s="251"/>
    </row>
    <row r="191" spans="1:14" x14ac:dyDescent="0.2">
      <c r="A191" s="14">
        <v>191</v>
      </c>
      <c r="B191" s="35" t="s">
        <v>479</v>
      </c>
      <c r="C191" s="35" t="s">
        <v>56</v>
      </c>
      <c r="D191" s="35" t="s">
        <v>56</v>
      </c>
      <c r="E191" s="35" t="s">
        <v>56</v>
      </c>
      <c r="F191" s="198" t="s">
        <v>56</v>
      </c>
      <c r="J191" s="159" t="s">
        <v>429</v>
      </c>
      <c r="L191" s="249"/>
      <c r="M191" s="249"/>
      <c r="N191" s="251"/>
    </row>
    <row r="192" spans="1:14" x14ac:dyDescent="0.2">
      <c r="A192" s="14">
        <v>192</v>
      </c>
      <c r="B192" s="39">
        <f>_FCC1</f>
        <v>42491</v>
      </c>
      <c r="C192" s="732" t="s">
        <v>526</v>
      </c>
      <c r="D192" s="262">
        <f>M186</f>
        <v>0</v>
      </c>
      <c r="E192" s="263">
        <f>(C192*D192)</f>
        <v>0</v>
      </c>
      <c r="F192" s="159" t="s">
        <v>521</v>
      </c>
      <c r="J192" s="159" t="s">
        <v>524</v>
      </c>
      <c r="L192" s="249"/>
      <c r="M192" s="249"/>
      <c r="N192" s="251"/>
    </row>
    <row r="193" spans="1:14" x14ac:dyDescent="0.2">
      <c r="A193" s="14">
        <v>193</v>
      </c>
      <c r="B193" s="44">
        <f>_FCC2</f>
        <v>42856</v>
      </c>
      <c r="C193" s="732" t="s">
        <v>526</v>
      </c>
      <c r="D193" s="262">
        <f>M187</f>
        <v>210.5</v>
      </c>
      <c r="E193" s="263">
        <f>(C193*D193)</f>
        <v>21050</v>
      </c>
      <c r="F193" s="197">
        <f>(E195/D195)</f>
        <v>100</v>
      </c>
      <c r="J193" s="278">
        <f>F193/365</f>
        <v>0.27400000000000002</v>
      </c>
      <c r="K193" t="s">
        <v>56</v>
      </c>
      <c r="L193" s="249"/>
      <c r="M193" s="249"/>
      <c r="N193" s="251"/>
    </row>
    <row r="194" spans="1:14" x14ac:dyDescent="0.2">
      <c r="A194" s="14">
        <v>194</v>
      </c>
      <c r="B194" s="44">
        <f>_FCC3</f>
        <v>43221</v>
      </c>
      <c r="C194" s="732" t="s">
        <v>526</v>
      </c>
      <c r="D194" s="262">
        <f>M188</f>
        <v>154.5</v>
      </c>
      <c r="E194" s="263">
        <f>(C194*D194)</f>
        <v>15450</v>
      </c>
      <c r="H194" s="249"/>
      <c r="I194" s="249"/>
      <c r="J194" s="249"/>
      <c r="K194" s="249"/>
      <c r="L194" s="249"/>
      <c r="M194" s="249"/>
      <c r="N194" s="251"/>
    </row>
    <row r="195" spans="1:14" ht="12.75" x14ac:dyDescent="0.2">
      <c r="A195" s="14">
        <v>195</v>
      </c>
      <c r="B195" s="46"/>
      <c r="C195" s="46"/>
      <c r="D195" s="262">
        <f>SUM(D192:D194)</f>
        <v>365</v>
      </c>
      <c r="E195" s="263">
        <f>SUM(E192:E194)</f>
        <v>36500</v>
      </c>
      <c r="F195" s="46"/>
      <c r="H195" s="249"/>
      <c r="I195" s="282" t="s">
        <v>527</v>
      </c>
      <c r="J195" s="293">
        <f>CALCULOS!H164</f>
        <v>0.66479999999999995</v>
      </c>
      <c r="L195" s="249"/>
      <c r="M195" s="249"/>
      <c r="N195" s="251"/>
    </row>
    <row r="196" spans="1:14" x14ac:dyDescent="0.2">
      <c r="A196" s="14">
        <v>196</v>
      </c>
      <c r="L196" s="249"/>
      <c r="M196" s="249"/>
      <c r="N196" s="251"/>
    </row>
    <row r="197" spans="1:14" x14ac:dyDescent="0.2">
      <c r="A197" s="14">
        <v>197</v>
      </c>
      <c r="H197" s="249"/>
      <c r="I197" s="282" t="s">
        <v>528</v>
      </c>
      <c r="J197" s="279">
        <f>J193*(1+J195)</f>
        <v>0.45619999999999999</v>
      </c>
      <c r="K197" t="s">
        <v>56</v>
      </c>
      <c r="L197" s="249"/>
      <c r="M197" s="249"/>
      <c r="N197" s="251"/>
    </row>
    <row r="198" spans="1:14" x14ac:dyDescent="0.2">
      <c r="A198" s="14">
        <v>198</v>
      </c>
      <c r="H198" s="249"/>
      <c r="L198" s="249"/>
      <c r="M198" s="249"/>
      <c r="N198" s="251"/>
    </row>
    <row r="199" spans="1:14" x14ac:dyDescent="0.2">
      <c r="A199" s="14">
        <v>199</v>
      </c>
      <c r="B199" s="419" t="s">
        <v>529</v>
      </c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51"/>
    </row>
    <row r="200" spans="1:14" x14ac:dyDescent="0.2">
      <c r="A200" s="14">
        <v>200</v>
      </c>
      <c r="H200" s="249"/>
      <c r="I200" s="249"/>
      <c r="J200" s="249"/>
      <c r="K200" s="249"/>
      <c r="L200" s="249"/>
      <c r="M200" s="249"/>
      <c r="N200" s="251"/>
    </row>
    <row r="201" spans="1:14" x14ac:dyDescent="0.2">
      <c r="A201" s="14">
        <v>201</v>
      </c>
      <c r="E201" s="18" t="s">
        <v>469</v>
      </c>
      <c r="F201" s="26">
        <f>FIPROY</f>
        <v>43010</v>
      </c>
      <c r="I201" s="18" t="s">
        <v>470</v>
      </c>
      <c r="J201" s="26">
        <f>FFPROY</f>
        <v>43375</v>
      </c>
      <c r="L201" s="18" t="s">
        <v>471</v>
      </c>
      <c r="M201" s="266">
        <f>(J201-F201)</f>
        <v>365</v>
      </c>
      <c r="N201" s="251"/>
    </row>
    <row r="202" spans="1:14" x14ac:dyDescent="0.2">
      <c r="A202" s="14">
        <v>202</v>
      </c>
      <c r="L202" s="18" t="s">
        <v>472</v>
      </c>
      <c r="M202" s="14">
        <f>IF(L206&gt;0,1,0)+IF(L207&gt;0,1,0)+IF(L208&gt;0,1,0)</f>
        <v>2</v>
      </c>
      <c r="N202" s="251"/>
    </row>
    <row r="203" spans="1:14" x14ac:dyDescent="0.2">
      <c r="A203" s="14">
        <v>203</v>
      </c>
      <c r="B203" s="763" t="s">
        <v>473</v>
      </c>
      <c r="C203" s="763"/>
      <c r="D203" s="763"/>
      <c r="E203" s="32"/>
      <c r="F203" s="32"/>
      <c r="G203" s="33" t="s">
        <v>474</v>
      </c>
      <c r="H203" s="33" t="s">
        <v>474</v>
      </c>
      <c r="I203" s="34" t="s">
        <v>23</v>
      </c>
      <c r="J203" s="34" t="s">
        <v>475</v>
      </c>
      <c r="K203" s="34" t="s">
        <v>23</v>
      </c>
      <c r="L203" s="32"/>
      <c r="M203" s="32"/>
      <c r="N203" s="251"/>
    </row>
    <row r="204" spans="1:14" x14ac:dyDescent="0.2">
      <c r="A204" s="14">
        <v>204</v>
      </c>
      <c r="B204" s="35" t="s">
        <v>384</v>
      </c>
      <c r="C204" s="36"/>
      <c r="D204" s="35" t="s">
        <v>384</v>
      </c>
      <c r="E204" s="37" t="s">
        <v>474</v>
      </c>
      <c r="F204" s="37" t="s">
        <v>474</v>
      </c>
      <c r="G204" s="38" t="s">
        <v>384</v>
      </c>
      <c r="H204" s="38" t="s">
        <v>384</v>
      </c>
      <c r="I204" s="34" t="s">
        <v>476</v>
      </c>
      <c r="J204" s="34" t="s">
        <v>477</v>
      </c>
      <c r="K204" s="34" t="s">
        <v>478</v>
      </c>
      <c r="L204" s="32"/>
      <c r="M204" s="32"/>
      <c r="N204" s="251"/>
    </row>
    <row r="205" spans="1:14" x14ac:dyDescent="0.2">
      <c r="A205" s="14">
        <v>205</v>
      </c>
      <c r="B205" s="35" t="s">
        <v>479</v>
      </c>
      <c r="C205" s="35" t="s">
        <v>56</v>
      </c>
      <c r="D205" s="35" t="s">
        <v>110</v>
      </c>
      <c r="E205" s="38" t="s">
        <v>109</v>
      </c>
      <c r="F205" s="38" t="s">
        <v>110</v>
      </c>
      <c r="G205" s="38" t="s">
        <v>109</v>
      </c>
      <c r="H205" s="38" t="s">
        <v>110</v>
      </c>
      <c r="I205" s="38" t="s">
        <v>480</v>
      </c>
      <c r="J205" s="38" t="s">
        <v>481</v>
      </c>
      <c r="K205" s="38" t="s">
        <v>482</v>
      </c>
      <c r="L205" s="38" t="s">
        <v>155</v>
      </c>
      <c r="M205" s="35" t="s">
        <v>483</v>
      </c>
      <c r="N205" s="251"/>
    </row>
    <row r="206" spans="1:14" x14ac:dyDescent="0.2">
      <c r="A206" s="14">
        <v>206</v>
      </c>
      <c r="B206" s="39">
        <f>_FCC1</f>
        <v>42491</v>
      </c>
      <c r="C206" s="40">
        <f>(D206-B206)</f>
        <v>364</v>
      </c>
      <c r="D206" s="39">
        <f>B206+364</f>
        <v>42855</v>
      </c>
      <c r="E206" s="41">
        <f>IF(AND(F201&gt;=B206,F201&lt;=D206),1,0)</f>
        <v>0</v>
      </c>
      <c r="F206" s="41">
        <f>IF(AND(J201&gt;=B206,J201&lt;=D206),1,0)</f>
        <v>0</v>
      </c>
      <c r="G206" s="42" t="b">
        <f>IF(E206=1,F201)</f>
        <v>0</v>
      </c>
      <c r="H206" s="42" t="b">
        <f>IF(F206=1,J201)</f>
        <v>0</v>
      </c>
      <c r="I206" s="13">
        <f>IF(IF(E206=1,F206=0),(D206-G206),0)</f>
        <v>0</v>
      </c>
      <c r="J206" s="13">
        <f>IF(AND(E206=1,F206=1),(H206-G206),0)</f>
        <v>0</v>
      </c>
      <c r="K206" s="13">
        <f>IF(AND(F206=1,E206=0),(H206-B206),0)</f>
        <v>0</v>
      </c>
      <c r="L206" s="13">
        <f>SUM(I206:K206)</f>
        <v>0</v>
      </c>
      <c r="M206" s="43">
        <f>IF(L206=0,0,IF($L$209=$M$201,L206,(L206+($M$201-$L$209)/$M$202)))</f>
        <v>0</v>
      </c>
      <c r="N206" s="251"/>
    </row>
    <row r="207" spans="1:14" x14ac:dyDescent="0.2">
      <c r="A207" s="14">
        <v>207</v>
      </c>
      <c r="B207" s="44">
        <f>_FCC2</f>
        <v>42856</v>
      </c>
      <c r="C207" s="45">
        <f>(D207-B207)</f>
        <v>364</v>
      </c>
      <c r="D207" s="39">
        <f>B207+364</f>
        <v>43220</v>
      </c>
      <c r="E207" s="41">
        <f>IF(AND(F201&gt;=B207,F201&lt;=D207),1,0)</f>
        <v>1</v>
      </c>
      <c r="F207" s="41">
        <f>IF(AND(J201&gt;=B207,J201&lt;=D207),1,0)</f>
        <v>0</v>
      </c>
      <c r="G207" s="42">
        <f>IF(E207=1,F201)</f>
        <v>43010</v>
      </c>
      <c r="H207" s="42" t="b">
        <f>IF(F207=1,J201)</f>
        <v>0</v>
      </c>
      <c r="I207" s="13">
        <f>IF(IF(E207=1,F207=0),(D207-G207),0)</f>
        <v>210</v>
      </c>
      <c r="J207" s="13">
        <f>IF(AND(E207=1,F207=1),(H207-G207),0)</f>
        <v>0</v>
      </c>
      <c r="K207" s="13">
        <f>IF(AND(F207=1,E207=0),(H207-B207),0)</f>
        <v>0</v>
      </c>
      <c r="L207" s="13">
        <f>SUM(I207:K207)</f>
        <v>210</v>
      </c>
      <c r="M207" s="43">
        <f>IF(L207=0,0,IF($L$209=$M$201,L207,(L207+($M$201-$L$209)/$M$202)))</f>
        <v>210.5</v>
      </c>
      <c r="N207" s="251"/>
    </row>
    <row r="208" spans="1:14" x14ac:dyDescent="0.2">
      <c r="A208" s="14">
        <v>208</v>
      </c>
      <c r="B208" s="44">
        <f>_FCC3</f>
        <v>43221</v>
      </c>
      <c r="C208" s="45">
        <f>(D208-B208)</f>
        <v>364</v>
      </c>
      <c r="D208" s="39">
        <f>B208+364</f>
        <v>43585</v>
      </c>
      <c r="E208" s="41">
        <f>IF(AND(F201&gt;=B208,F201&lt;=D208),1,0)</f>
        <v>0</v>
      </c>
      <c r="F208" s="41">
        <f>IF(AND(J201&gt;=B208,J201&lt;=D208),1,0)</f>
        <v>1</v>
      </c>
      <c r="G208" s="42" t="b">
        <f>IF(E208=1,F201)</f>
        <v>0</v>
      </c>
      <c r="H208" s="42">
        <f>IF(F208=1,J201)</f>
        <v>43375</v>
      </c>
      <c r="I208" s="13">
        <f>IF(IF(E208=1,F208=0),(D208-G208),0)</f>
        <v>0</v>
      </c>
      <c r="J208" s="13">
        <f>IF(AND(E208=1,F208=1),(H208-G208),0)</f>
        <v>0</v>
      </c>
      <c r="K208" s="13">
        <f>IF(AND(F208=1,E208=0),(H208-B208),0)</f>
        <v>154</v>
      </c>
      <c r="L208" s="13">
        <f>SUM(I208:K208)</f>
        <v>154</v>
      </c>
      <c r="M208" s="43">
        <f>IF(L208=0,0,IF($L$209=$M$201,L208,(L208+($M$201-$L$209)/$M$202)))</f>
        <v>154.5</v>
      </c>
      <c r="N208" s="251"/>
    </row>
    <row r="209" spans="1:14" ht="12.75" x14ac:dyDescent="0.2">
      <c r="A209" s="14">
        <v>209</v>
      </c>
      <c r="B209" s="46"/>
      <c r="C209" s="46"/>
      <c r="D209" s="47"/>
      <c r="E209" s="46"/>
      <c r="F209" s="46"/>
      <c r="G209" s="46"/>
      <c r="H209" s="47"/>
      <c r="L209" s="14">
        <f>SUM(L206:L208)</f>
        <v>364</v>
      </c>
      <c r="M209" s="267">
        <f>SUM(M206:M208)</f>
        <v>365</v>
      </c>
      <c r="N209" s="251"/>
    </row>
    <row r="210" spans="1:14" x14ac:dyDescent="0.2">
      <c r="A210" s="14">
        <v>210</v>
      </c>
      <c r="B210" s="35" t="s">
        <v>384</v>
      </c>
      <c r="C210" s="35"/>
      <c r="D210" s="35"/>
      <c r="E210" s="35" t="s">
        <v>36</v>
      </c>
      <c r="F210" s="198" t="s">
        <v>266</v>
      </c>
      <c r="J210" s="198"/>
      <c r="L210" s="249"/>
      <c r="M210" s="249"/>
      <c r="N210" s="251"/>
    </row>
    <row r="211" spans="1:14" x14ac:dyDescent="0.2">
      <c r="A211" s="14">
        <v>211</v>
      </c>
      <c r="B211" s="35" t="s">
        <v>479</v>
      </c>
      <c r="C211" s="35" t="s">
        <v>56</v>
      </c>
      <c r="D211" s="35" t="s">
        <v>56</v>
      </c>
      <c r="E211" s="35" t="s">
        <v>56</v>
      </c>
      <c r="F211" s="198" t="s">
        <v>56</v>
      </c>
      <c r="J211" s="159"/>
      <c r="L211" s="249"/>
      <c r="M211" s="249"/>
      <c r="N211" s="251"/>
    </row>
    <row r="212" spans="1:14" x14ac:dyDescent="0.2">
      <c r="A212" s="14">
        <v>212</v>
      </c>
      <c r="B212" s="39">
        <f>_FCC1</f>
        <v>42491</v>
      </c>
      <c r="C212" s="732" t="s">
        <v>530</v>
      </c>
      <c r="D212" s="262">
        <f>M206</f>
        <v>0</v>
      </c>
      <c r="E212" s="263">
        <f>(C212*D212)</f>
        <v>0</v>
      </c>
      <c r="F212" s="159" t="s">
        <v>521</v>
      </c>
      <c r="J212" s="159"/>
      <c r="L212" s="249"/>
      <c r="M212" s="249"/>
      <c r="N212" s="251"/>
    </row>
    <row r="213" spans="1:14" x14ac:dyDescent="0.2">
      <c r="A213" s="14">
        <v>213</v>
      </c>
      <c r="B213" s="44">
        <f>_FCC2</f>
        <v>42856</v>
      </c>
      <c r="C213" s="732" t="s">
        <v>530</v>
      </c>
      <c r="D213" s="262">
        <f>M207</f>
        <v>210.5</v>
      </c>
      <c r="E213" s="263">
        <f>(C213*D213)</f>
        <v>46310</v>
      </c>
      <c r="F213" s="197">
        <f>(E215/D215)</f>
        <v>220</v>
      </c>
      <c r="I213" s="84"/>
      <c r="J213" s="394"/>
      <c r="K213" s="84"/>
      <c r="L213" s="249"/>
      <c r="M213" s="249"/>
      <c r="N213" s="251"/>
    </row>
    <row r="214" spans="1:14" x14ac:dyDescent="0.2">
      <c r="A214" s="14">
        <v>214</v>
      </c>
      <c r="B214" s="44">
        <f>_FCC3</f>
        <v>43221</v>
      </c>
      <c r="C214" s="732" t="s">
        <v>530</v>
      </c>
      <c r="D214" s="262">
        <f>M208</f>
        <v>154.5</v>
      </c>
      <c r="E214" s="263">
        <f>(C214*D214)</f>
        <v>33990</v>
      </c>
      <c r="H214" s="249"/>
      <c r="I214" s="249"/>
      <c r="J214" s="249"/>
      <c r="K214" s="249"/>
      <c r="L214" s="249"/>
      <c r="M214" s="249"/>
      <c r="N214" s="251"/>
    </row>
    <row r="215" spans="1:14" ht="12.75" x14ac:dyDescent="0.2">
      <c r="A215" s="14">
        <v>215</v>
      </c>
      <c r="B215" s="46"/>
      <c r="C215" s="46"/>
      <c r="D215" s="262">
        <f>SUM(D212:D214)</f>
        <v>365</v>
      </c>
      <c r="E215" s="263">
        <f>SUM(E212:E214)</f>
        <v>80300</v>
      </c>
      <c r="F215" s="46"/>
      <c r="H215" s="249"/>
      <c r="I215" s="282"/>
      <c r="J215" s="395"/>
      <c r="K215" s="84"/>
      <c r="L215" s="249"/>
      <c r="M215" s="249"/>
      <c r="N215" s="251"/>
    </row>
    <row r="216" spans="1:14" x14ac:dyDescent="0.2">
      <c r="A216" s="14">
        <v>216</v>
      </c>
      <c r="I216" s="84"/>
      <c r="J216" s="84"/>
      <c r="K216" s="84"/>
      <c r="L216" s="249"/>
      <c r="M216" s="249"/>
      <c r="N216" s="251"/>
    </row>
    <row r="217" spans="1:14" x14ac:dyDescent="0.2">
      <c r="A217" s="14">
        <v>217</v>
      </c>
      <c r="B217" s="419" t="s">
        <v>531</v>
      </c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51"/>
    </row>
    <row r="218" spans="1:14" x14ac:dyDescent="0.2">
      <c r="A218" s="14">
        <v>218</v>
      </c>
      <c r="H218" s="249"/>
      <c r="I218" s="249"/>
      <c r="J218" s="249"/>
      <c r="K218" s="249"/>
      <c r="L218" s="249"/>
      <c r="M218" s="249"/>
      <c r="N218" s="251"/>
    </row>
    <row r="219" spans="1:14" x14ac:dyDescent="0.2">
      <c r="A219" s="14">
        <v>219</v>
      </c>
      <c r="D219" s="18" t="s">
        <v>469</v>
      </c>
      <c r="E219" s="26">
        <f>FIPROY</f>
        <v>43010</v>
      </c>
      <c r="H219" s="18" t="s">
        <v>470</v>
      </c>
      <c r="I219" s="26">
        <f>FFPROY</f>
        <v>43375</v>
      </c>
      <c r="J219" s="249"/>
      <c r="K219" s="249"/>
      <c r="L219" s="249"/>
      <c r="M219" s="249"/>
      <c r="N219" s="251"/>
    </row>
    <row r="220" spans="1:14" x14ac:dyDescent="0.2">
      <c r="A220" s="14">
        <v>220</v>
      </c>
      <c r="J220" s="189"/>
      <c r="K220" s="252"/>
      <c r="L220" s="252"/>
      <c r="M220" s="252"/>
      <c r="N220" s="251"/>
    </row>
    <row r="221" spans="1:14" ht="12.75" x14ac:dyDescent="0.2">
      <c r="A221" s="14">
        <v>221</v>
      </c>
      <c r="D221" s="46"/>
      <c r="E221" s="186"/>
      <c r="F221" s="186" t="s">
        <v>498</v>
      </c>
      <c r="G221" s="186"/>
      <c r="H221" s="186" t="s">
        <v>499</v>
      </c>
      <c r="J221" s="189"/>
      <c r="K221" s="252"/>
      <c r="L221" s="252"/>
      <c r="M221" s="252"/>
      <c r="N221" s="252"/>
    </row>
    <row r="222" spans="1:14" x14ac:dyDescent="0.2">
      <c r="A222" s="14">
        <v>222</v>
      </c>
      <c r="E222" s="186" t="s">
        <v>500</v>
      </c>
      <c r="F222" s="186" t="s">
        <v>56</v>
      </c>
      <c r="G222" s="186" t="s">
        <v>474</v>
      </c>
      <c r="H222" s="186" t="s">
        <v>498</v>
      </c>
      <c r="J222" s="189"/>
      <c r="K222" s="252"/>
      <c r="L222" s="252"/>
      <c r="M222" s="252"/>
      <c r="N222" s="251"/>
    </row>
    <row r="223" spans="1:14" x14ac:dyDescent="0.2">
      <c r="A223" s="14">
        <v>223</v>
      </c>
      <c r="E223" s="22">
        <f>DATE(YEAR(_FCC1),3,26)</f>
        <v>42455</v>
      </c>
      <c r="F223" s="732" t="s">
        <v>532</v>
      </c>
      <c r="G223" s="21">
        <f>IF(AND($F$50&lt;E223,E223&lt;$J$50),1,0)</f>
        <v>0</v>
      </c>
      <c r="H223" s="13">
        <f>IF(G223=0,0,F223)</f>
        <v>0</v>
      </c>
    </row>
    <row r="224" spans="1:14" x14ac:dyDescent="0.2">
      <c r="A224" s="14">
        <v>224</v>
      </c>
      <c r="E224" s="22">
        <f>DATE(YEAR(_FCC2),3,26)</f>
        <v>42820</v>
      </c>
      <c r="F224" s="732" t="s">
        <v>532</v>
      </c>
      <c r="G224" s="21">
        <f>IF(AND($F$50&lt;E224,E224&lt;$J$50),1,0)</f>
        <v>0</v>
      </c>
      <c r="H224" s="13">
        <f>IF(G224=0,0,F224)</f>
        <v>0</v>
      </c>
      <c r="I224" s="249"/>
    </row>
    <row r="225" spans="1:9" x14ac:dyDescent="0.2">
      <c r="A225" s="14">
        <v>225</v>
      </c>
      <c r="E225" s="22">
        <f>DATE(YEAR(_FCC3),3,26)</f>
        <v>43185</v>
      </c>
      <c r="F225" s="732" t="s">
        <v>532</v>
      </c>
      <c r="G225" s="21">
        <f>IF(AND($F$50&lt;E225,E225&lt;$J$50),1,0)</f>
        <v>1</v>
      </c>
      <c r="H225" s="13" t="str">
        <f>IF(G225=0,0,F225)</f>
        <v>260</v>
      </c>
      <c r="I225" s="249"/>
    </row>
    <row r="226" spans="1:9" x14ac:dyDescent="0.2">
      <c r="A226" s="14">
        <v>226</v>
      </c>
      <c r="E226" s="258"/>
      <c r="G226" s="18" t="s">
        <v>36</v>
      </c>
      <c r="H226" s="259">
        <f>H223+H224+H225</f>
        <v>260</v>
      </c>
      <c r="I226" s="252"/>
    </row>
    <row r="227" spans="1:9" x14ac:dyDescent="0.2">
      <c r="A227" s="14">
        <v>227</v>
      </c>
    </row>
    <row r="228" spans="1:9" x14ac:dyDescent="0.2">
      <c r="A228" s="14">
        <v>228</v>
      </c>
      <c r="E228" s="186"/>
      <c r="F228" s="186" t="s">
        <v>498</v>
      </c>
      <c r="G228" s="186"/>
      <c r="H228" s="186" t="s">
        <v>499</v>
      </c>
    </row>
    <row r="229" spans="1:9" x14ac:dyDescent="0.2">
      <c r="A229" s="14">
        <v>229</v>
      </c>
      <c r="E229" s="186" t="s">
        <v>500</v>
      </c>
      <c r="F229" s="186" t="s">
        <v>56</v>
      </c>
      <c r="G229" s="186" t="s">
        <v>474</v>
      </c>
      <c r="H229" s="186" t="s">
        <v>498</v>
      </c>
    </row>
    <row r="230" spans="1:9" x14ac:dyDescent="0.2">
      <c r="A230" s="14">
        <v>230</v>
      </c>
      <c r="E230" s="39">
        <f>DATE(YEAR(_FCC1),5,1)</f>
        <v>42491</v>
      </c>
      <c r="F230" s="732" t="s">
        <v>533</v>
      </c>
      <c r="G230" s="21">
        <f>IF(AND($F$50&lt;E230,E230&lt;$J$50),1,0)</f>
        <v>0</v>
      </c>
      <c r="H230" s="13">
        <f>IF(G230=0,0,F230)</f>
        <v>0</v>
      </c>
    </row>
    <row r="231" spans="1:9" x14ac:dyDescent="0.2">
      <c r="A231" s="14">
        <v>231</v>
      </c>
      <c r="E231" s="44">
        <f>DATE(YEAR(_FCC2),5,1)</f>
        <v>42856</v>
      </c>
      <c r="F231" s="732" t="s">
        <v>533</v>
      </c>
      <c r="G231" s="21">
        <f>IF(AND($F$50&lt;E231,E231&lt;$J$50),1,0)</f>
        <v>0</v>
      </c>
      <c r="H231" s="13">
        <f>IF(G231=0,0,F231)</f>
        <v>0</v>
      </c>
    </row>
    <row r="232" spans="1:9" x14ac:dyDescent="0.2">
      <c r="A232" s="14">
        <v>232</v>
      </c>
      <c r="E232" s="44">
        <f>DATE(YEAR(_FCC3),5,1)</f>
        <v>43221</v>
      </c>
      <c r="F232" s="732" t="s">
        <v>533</v>
      </c>
      <c r="G232" s="21">
        <f>IF(AND($F$50&lt;E232,E232&lt;$J$50),1,0)</f>
        <v>1</v>
      </c>
      <c r="H232" s="13" t="str">
        <f>IF(G232=0,0,F232)</f>
        <v>330</v>
      </c>
    </row>
    <row r="233" spans="1:9" x14ac:dyDescent="0.2">
      <c r="A233" s="14">
        <v>233</v>
      </c>
      <c r="E233" s="258"/>
      <c r="G233" s="18" t="s">
        <v>36</v>
      </c>
      <c r="H233" s="259">
        <f>H230+H231+H232</f>
        <v>330</v>
      </c>
    </row>
    <row r="234" spans="1:9" x14ac:dyDescent="0.2">
      <c r="A234" s="14">
        <v>234</v>
      </c>
    </row>
  </sheetData>
  <mergeCells count="12">
    <mergeCell ref="B203:D203"/>
    <mergeCell ref="B139:D139"/>
    <mergeCell ref="B158:D158"/>
    <mergeCell ref="B183:D183"/>
    <mergeCell ref="B7:D7"/>
    <mergeCell ref="B20:D20"/>
    <mergeCell ref="B64:D64"/>
    <mergeCell ref="D38:I38"/>
    <mergeCell ref="D39:E39"/>
    <mergeCell ref="B121:D121"/>
    <mergeCell ref="B83:D83"/>
    <mergeCell ref="B103:D10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8"/>
  </sheetPr>
  <dimension ref="A1:P437"/>
  <sheetViews>
    <sheetView showGridLines="0" topLeftCell="A31" workbookViewId="0">
      <selection activeCell="D62" sqref="D62"/>
    </sheetView>
  </sheetViews>
  <sheetFormatPr baseColWidth="10" defaultRowHeight="11.25" x14ac:dyDescent="0.2"/>
  <cols>
    <col min="2" max="2" width="14.5" customWidth="1"/>
    <col min="3" max="3" width="13.83203125" customWidth="1"/>
    <col min="6" max="6" width="14" customWidth="1"/>
    <col min="7" max="7" width="16.5" customWidth="1"/>
    <col min="8" max="8" width="15.1640625" customWidth="1"/>
    <col min="9" max="9" width="14.33203125" customWidth="1"/>
    <col min="10" max="10" width="15" customWidth="1"/>
    <col min="11" max="11" width="14.33203125" customWidth="1"/>
  </cols>
  <sheetData>
    <row r="1" spans="1:16" s="14" customForma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177</v>
      </c>
      <c r="M1" s="57" t="s">
        <v>178</v>
      </c>
      <c r="N1" s="57" t="s">
        <v>179</v>
      </c>
      <c r="O1" s="57" t="s">
        <v>534</v>
      </c>
      <c r="P1" s="57" t="s">
        <v>535</v>
      </c>
    </row>
    <row r="2" spans="1:16" x14ac:dyDescent="0.2">
      <c r="A2" s="14">
        <v>2</v>
      </c>
    </row>
    <row r="3" spans="1:16" x14ac:dyDescent="0.2">
      <c r="A3" s="14">
        <v>3</v>
      </c>
      <c r="B3" s="418" t="s">
        <v>536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</row>
    <row r="4" spans="1:16" x14ac:dyDescent="0.2">
      <c r="A4" s="14">
        <v>4</v>
      </c>
    </row>
    <row r="5" spans="1:16" x14ac:dyDescent="0.2">
      <c r="A5" s="14">
        <v>5</v>
      </c>
      <c r="C5" s="18" t="s">
        <v>537</v>
      </c>
      <c r="D5" s="13">
        <f>(15*4)*(TDT/50)</f>
        <v>60</v>
      </c>
      <c r="E5" t="s">
        <v>538</v>
      </c>
    </row>
    <row r="6" spans="1:16" x14ac:dyDescent="0.2">
      <c r="A6" s="14">
        <v>6</v>
      </c>
      <c r="C6" s="18"/>
      <c r="F6" s="159" t="s">
        <v>539</v>
      </c>
      <c r="G6" s="159" t="s">
        <v>540</v>
      </c>
      <c r="H6" s="159" t="s">
        <v>541</v>
      </c>
    </row>
    <row r="7" spans="1:16" x14ac:dyDescent="0.2">
      <c r="A7" s="14">
        <v>7</v>
      </c>
      <c r="C7" s="18" t="s">
        <v>542</v>
      </c>
      <c r="D7" s="60">
        <v>0.1</v>
      </c>
      <c r="E7" t="s">
        <v>543</v>
      </c>
      <c r="F7" s="14" t="s">
        <v>544</v>
      </c>
      <c r="G7" s="192">
        <f>VARIABLES!C11</f>
        <v>820685.87</v>
      </c>
      <c r="H7" s="188">
        <f>(D7*$D$5*G7)</f>
        <v>4924115.22</v>
      </c>
    </row>
    <row r="8" spans="1:16" x14ac:dyDescent="0.2">
      <c r="A8" s="14">
        <v>8</v>
      </c>
      <c r="C8" s="18" t="s">
        <v>545</v>
      </c>
      <c r="D8" s="60">
        <v>0.1</v>
      </c>
      <c r="E8" t="s">
        <v>546</v>
      </c>
      <c r="F8" s="57" t="s">
        <v>547</v>
      </c>
      <c r="G8" s="192">
        <f>VARIABLES!C13</f>
        <v>349386.66</v>
      </c>
      <c r="H8" s="188">
        <f t="shared" ref="H8:H13" si="0">(D8*$D$5*G8)</f>
        <v>2096319.96</v>
      </c>
    </row>
    <row r="9" spans="1:16" x14ac:dyDescent="0.2">
      <c r="A9" s="14">
        <v>9</v>
      </c>
      <c r="C9" s="18" t="s">
        <v>548</v>
      </c>
      <c r="D9" s="14">
        <v>0.75</v>
      </c>
      <c r="E9" t="s">
        <v>549</v>
      </c>
      <c r="F9" s="14" t="s">
        <v>550</v>
      </c>
      <c r="G9" s="192">
        <f>VARIABLES!C15</f>
        <v>21698.53</v>
      </c>
      <c r="H9" s="188">
        <f t="shared" si="0"/>
        <v>976433.85</v>
      </c>
    </row>
    <row r="10" spans="1:16" x14ac:dyDescent="0.2">
      <c r="A10" s="14">
        <v>10</v>
      </c>
      <c r="C10" s="18" t="s">
        <v>551</v>
      </c>
      <c r="D10" s="14">
        <v>1.5</v>
      </c>
      <c r="E10" t="s">
        <v>549</v>
      </c>
      <c r="F10" s="14" t="s">
        <v>552</v>
      </c>
      <c r="G10" s="192">
        <f>VARIABLES!C17</f>
        <v>110358.44</v>
      </c>
      <c r="H10" s="188">
        <f t="shared" si="0"/>
        <v>9932259.5999999996</v>
      </c>
    </row>
    <row r="11" spans="1:16" x14ac:dyDescent="0.2">
      <c r="A11" s="14">
        <v>11</v>
      </c>
      <c r="C11" s="18" t="s">
        <v>553</v>
      </c>
      <c r="D11" s="14">
        <v>12.5</v>
      </c>
      <c r="E11" t="s">
        <v>554</v>
      </c>
      <c r="F11" s="14" t="s">
        <v>555</v>
      </c>
      <c r="G11" s="193">
        <f>VARIABLES!C19</f>
        <v>11144.63</v>
      </c>
      <c r="H11" s="188">
        <f t="shared" si="0"/>
        <v>8358472.5</v>
      </c>
    </row>
    <row r="12" spans="1:16" x14ac:dyDescent="0.2">
      <c r="A12" s="14">
        <v>12</v>
      </c>
      <c r="C12" s="18" t="s">
        <v>556</v>
      </c>
      <c r="D12" s="14">
        <v>12.5</v>
      </c>
      <c r="E12" t="s">
        <v>554</v>
      </c>
      <c r="F12" s="14" t="s">
        <v>557</v>
      </c>
      <c r="G12" s="192">
        <f>VARIABLES!C21</f>
        <v>5613.22</v>
      </c>
      <c r="H12" s="188">
        <f t="shared" si="0"/>
        <v>4209915</v>
      </c>
    </row>
    <row r="13" spans="1:16" x14ac:dyDescent="0.2">
      <c r="A13" s="14">
        <v>13</v>
      </c>
      <c r="C13" s="18" t="s">
        <v>558</v>
      </c>
      <c r="D13" s="14">
        <v>12.5</v>
      </c>
      <c r="E13" t="s">
        <v>554</v>
      </c>
      <c r="F13" s="14" t="s">
        <v>559</v>
      </c>
      <c r="G13" s="192">
        <f>VARIABLES!C23</f>
        <v>3119.11</v>
      </c>
      <c r="H13" s="188">
        <f t="shared" si="0"/>
        <v>2339332.5</v>
      </c>
    </row>
    <row r="14" spans="1:16" x14ac:dyDescent="0.2">
      <c r="A14" s="14">
        <v>14</v>
      </c>
      <c r="C14" s="18"/>
      <c r="D14" s="14"/>
      <c r="F14" s="14"/>
      <c r="G14" s="189"/>
      <c r="H14" s="188"/>
    </row>
    <row r="15" spans="1:16" x14ac:dyDescent="0.2">
      <c r="A15" s="14">
        <v>15</v>
      </c>
      <c r="G15" s="18" t="s">
        <v>560</v>
      </c>
      <c r="H15" s="236">
        <f>SUM(H7:H13)</f>
        <v>32836848.629999999</v>
      </c>
      <c r="I15" t="s">
        <v>561</v>
      </c>
      <c r="M15" s="403" t="s">
        <v>128</v>
      </c>
    </row>
    <row r="16" spans="1:16" x14ac:dyDescent="0.2">
      <c r="A16" s="14">
        <v>16</v>
      </c>
      <c r="C16" s="136"/>
      <c r="H16" s="161"/>
    </row>
    <row r="17" spans="1:16" x14ac:dyDescent="0.2">
      <c r="A17" s="14">
        <v>17</v>
      </c>
      <c r="B17" s="18" t="s">
        <v>562</v>
      </c>
      <c r="C17" s="191">
        <f>VARIABLES!C27</f>
        <v>75000000</v>
      </c>
      <c r="D17" s="18" t="s">
        <v>563</v>
      </c>
      <c r="E17" s="191">
        <f>VARIABLES!C25</f>
        <v>81100000</v>
      </c>
      <c r="G17" s="18" t="s">
        <v>564</v>
      </c>
      <c r="H17" s="236">
        <f>((2*(TDT/50)*(E17*(1/5))+2*(TDT/50)*(C17*(1/5)))/365)*TDP</f>
        <v>62440000</v>
      </c>
      <c r="I17" t="s">
        <v>565</v>
      </c>
    </row>
    <row r="18" spans="1:16" x14ac:dyDescent="0.2">
      <c r="A18" s="14">
        <v>18</v>
      </c>
      <c r="C18" s="136"/>
      <c r="H18" s="161"/>
    </row>
    <row r="19" spans="1:16" x14ac:dyDescent="0.2">
      <c r="A19" s="14">
        <v>19</v>
      </c>
      <c r="B19" s="18" t="s">
        <v>566</v>
      </c>
      <c r="C19" s="192">
        <f>VARIABLES!C29</f>
        <v>120000</v>
      </c>
      <c r="D19" t="s">
        <v>567</v>
      </c>
      <c r="G19" s="18" t="s">
        <v>568</v>
      </c>
      <c r="H19" s="236">
        <f>(C19*TDT)*(TDET+TDLL)</f>
        <v>1552320000</v>
      </c>
      <c r="I19" t="s">
        <v>569</v>
      </c>
    </row>
    <row r="20" spans="1:16" x14ac:dyDescent="0.2">
      <c r="A20" s="14">
        <v>20</v>
      </c>
      <c r="H20" s="161"/>
    </row>
    <row r="21" spans="1:16" x14ac:dyDescent="0.2">
      <c r="A21" s="14">
        <v>21</v>
      </c>
      <c r="D21" s="14"/>
      <c r="G21" s="18" t="s">
        <v>570</v>
      </c>
      <c r="H21" s="237">
        <f>IF(FCAS!C12=1,(VLOOKUP(12,TABSAL!B8:AZ110,11)*(1+FCASP))*TDP,(VLOOKUP(12,TABSAL!B8:AZ110,11)*(1+FCASP))*(1+TABLAS!J8)*TDP)</f>
        <v>3096954.51</v>
      </c>
      <c r="I21" t="s">
        <v>571</v>
      </c>
      <c r="J21" s="52"/>
    </row>
    <row r="22" spans="1:16" x14ac:dyDescent="0.2">
      <c r="A22" s="14">
        <v>22</v>
      </c>
      <c r="H22" s="161"/>
    </row>
    <row r="23" spans="1:16" x14ac:dyDescent="0.2">
      <c r="A23" s="14">
        <v>23</v>
      </c>
      <c r="G23" s="18" t="s">
        <v>572</v>
      </c>
      <c r="H23" s="238">
        <f>(H17+H19+H21)</f>
        <v>1617856954.51</v>
      </c>
      <c r="I23" t="s">
        <v>573</v>
      </c>
    </row>
    <row r="24" spans="1:16" x14ac:dyDescent="0.2">
      <c r="A24" s="14">
        <v>24</v>
      </c>
    </row>
    <row r="25" spans="1:16" x14ac:dyDescent="0.2">
      <c r="A25" s="14">
        <v>25</v>
      </c>
      <c r="G25" t="s">
        <v>36</v>
      </c>
      <c r="H25" s="190">
        <f>((H23)/TDT)/SBP</f>
        <v>4422.22</v>
      </c>
      <c r="I25" t="s">
        <v>574</v>
      </c>
    </row>
    <row r="26" spans="1:16" x14ac:dyDescent="0.2">
      <c r="A26" s="14">
        <v>26</v>
      </c>
    </row>
    <row r="27" spans="1:16" x14ac:dyDescent="0.2">
      <c r="A27" s="14">
        <v>27</v>
      </c>
      <c r="B27" s="195" t="s">
        <v>575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</row>
    <row r="28" spans="1:16" x14ac:dyDescent="0.2">
      <c r="A28" s="14">
        <v>28</v>
      </c>
    </row>
    <row r="29" spans="1:16" x14ac:dyDescent="0.2">
      <c r="A29" s="14">
        <v>29</v>
      </c>
      <c r="B29" s="418" t="s">
        <v>576</v>
      </c>
      <c r="C29" s="203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</row>
    <row r="30" spans="1:16" x14ac:dyDescent="0.2">
      <c r="A30" s="14">
        <v>30</v>
      </c>
    </row>
    <row r="31" spans="1:16" x14ac:dyDescent="0.2">
      <c r="A31" s="14">
        <v>31</v>
      </c>
      <c r="D31" s="18" t="s">
        <v>577</v>
      </c>
      <c r="E31" s="197">
        <f>VLOOKUP(19,TABSAL!B8:AZ110,11)*IF(FCAS!C12=1,1,(TABLAS!I40+TABLAS!$J$8))*(1+FCASP)</f>
        <v>7686.71</v>
      </c>
      <c r="F31" t="s">
        <v>50</v>
      </c>
      <c r="H31" s="18" t="s">
        <v>572</v>
      </c>
      <c r="I31" s="257">
        <f>(E31+E33)*TDP*IF(TDT&gt;60,2,1)</f>
        <v>1877445649.1500001</v>
      </c>
      <c r="J31" t="s">
        <v>573</v>
      </c>
    </row>
    <row r="32" spans="1:16" x14ac:dyDescent="0.2">
      <c r="A32" s="14">
        <v>32</v>
      </c>
    </row>
    <row r="33" spans="1:16" x14ac:dyDescent="0.2">
      <c r="A33" s="14">
        <v>33</v>
      </c>
      <c r="D33" s="18" t="s">
        <v>578</v>
      </c>
      <c r="E33" s="51">
        <f>(VARIABLES!C39*0.0015)</f>
        <v>5136000</v>
      </c>
      <c r="F33" t="s">
        <v>50</v>
      </c>
      <c r="H33" s="18" t="s">
        <v>560</v>
      </c>
      <c r="I33" s="190">
        <f>(I31/TDT)/SBP</f>
        <v>5131.7700000000004</v>
      </c>
      <c r="J33" t="s">
        <v>574</v>
      </c>
    </row>
    <row r="34" spans="1:16" x14ac:dyDescent="0.2">
      <c r="A34" s="14">
        <v>34</v>
      </c>
    </row>
    <row r="35" spans="1:16" x14ac:dyDescent="0.2">
      <c r="A35" s="14">
        <v>35</v>
      </c>
      <c r="B35" s="418" t="s">
        <v>579</v>
      </c>
      <c r="C35" s="203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</row>
    <row r="36" spans="1:16" x14ac:dyDescent="0.2">
      <c r="A36" s="14">
        <v>36</v>
      </c>
      <c r="F36" s="135"/>
      <c r="G36" s="135"/>
      <c r="H36" s="135"/>
      <c r="I36" s="135"/>
    </row>
    <row r="37" spans="1:16" x14ac:dyDescent="0.2">
      <c r="A37" s="14">
        <v>37</v>
      </c>
      <c r="B37" s="204" t="s">
        <v>580</v>
      </c>
      <c r="C37" s="205"/>
      <c r="D37" s="205"/>
      <c r="E37" s="205"/>
      <c r="F37" s="204"/>
      <c r="G37" s="204"/>
      <c r="H37" s="204"/>
      <c r="I37" s="204"/>
      <c r="J37" s="205"/>
      <c r="K37" s="205"/>
      <c r="L37" s="205"/>
      <c r="M37" s="205"/>
      <c r="N37" s="205"/>
      <c r="O37" s="205"/>
      <c r="P37" s="205"/>
    </row>
    <row r="38" spans="1:16" x14ac:dyDescent="0.2">
      <c r="A38" s="14">
        <v>38</v>
      </c>
      <c r="D38" s="161"/>
      <c r="E38" s="135"/>
      <c r="F38" s="135"/>
      <c r="G38" s="135"/>
      <c r="H38" s="159" t="s">
        <v>36</v>
      </c>
      <c r="I38" s="161"/>
      <c r="K38" s="161"/>
      <c r="L38" s="161"/>
      <c r="M38" s="161"/>
      <c r="N38" s="161"/>
      <c r="O38" s="161"/>
      <c r="P38" s="161"/>
    </row>
    <row r="39" spans="1:16" x14ac:dyDescent="0.2">
      <c r="A39" s="14">
        <v>39</v>
      </c>
      <c r="D39" s="161"/>
      <c r="E39" s="159" t="s">
        <v>581</v>
      </c>
      <c r="F39" s="159" t="s">
        <v>582</v>
      </c>
      <c r="G39" s="159" t="s">
        <v>583</v>
      </c>
      <c r="H39" s="159" t="s">
        <v>48</v>
      </c>
      <c r="I39" s="161"/>
      <c r="K39" s="161"/>
      <c r="L39" s="161"/>
      <c r="M39" s="161"/>
      <c r="N39" s="161"/>
      <c r="O39" s="161"/>
      <c r="P39" s="161"/>
    </row>
    <row r="40" spans="1:16" x14ac:dyDescent="0.2">
      <c r="A40" s="14">
        <v>40</v>
      </c>
      <c r="D40" s="161" t="s">
        <v>584</v>
      </c>
      <c r="E40" s="732" t="s">
        <v>585</v>
      </c>
      <c r="F40" s="206">
        <f>VARIABLES!C53</f>
        <v>3200000</v>
      </c>
      <c r="G40" s="207">
        <f>(1/(3*365))</f>
        <v>9.1299999999999997E-4</v>
      </c>
      <c r="H40" s="208">
        <f t="shared" ref="H40:H46" si="1">E40*(F40*G40)</f>
        <v>73040</v>
      </c>
      <c r="I40" s="161"/>
      <c r="J40" s="268" t="s">
        <v>586</v>
      </c>
      <c r="K40" s="161"/>
      <c r="L40" s="161"/>
      <c r="M40" s="161"/>
      <c r="N40" s="161"/>
      <c r="O40" s="161"/>
      <c r="P40" s="161"/>
    </row>
    <row r="41" spans="1:16" x14ac:dyDescent="0.2">
      <c r="A41" s="14">
        <v>41</v>
      </c>
      <c r="D41" s="161" t="s">
        <v>587</v>
      </c>
      <c r="E41" s="732" t="s">
        <v>585</v>
      </c>
      <c r="F41" s="206">
        <f>VARIABLES!C55</f>
        <v>1350000</v>
      </c>
      <c r="G41" s="207">
        <f>(1/(3*365))</f>
        <v>9.1299999999999997E-4</v>
      </c>
      <c r="H41" s="208">
        <f t="shared" si="1"/>
        <v>30813.75</v>
      </c>
      <c r="I41" s="161"/>
      <c r="J41" s="51">
        <f>(H49/50)</f>
        <v>10092259.130000001</v>
      </c>
      <c r="K41" s="161" t="s">
        <v>588</v>
      </c>
      <c r="L41" s="161"/>
      <c r="M41" s="161"/>
      <c r="N41" s="161"/>
      <c r="O41" s="161"/>
      <c r="P41" s="161"/>
    </row>
    <row r="42" spans="1:16" x14ac:dyDescent="0.2">
      <c r="A42" s="14">
        <v>42</v>
      </c>
      <c r="D42" s="161" t="s">
        <v>589</v>
      </c>
      <c r="E42" s="209" t="s">
        <v>526</v>
      </c>
      <c r="F42" s="206">
        <f>VARIABLES!C57</f>
        <v>1000000</v>
      </c>
      <c r="G42" s="207">
        <f>(1/(1*365))</f>
        <v>2.7399999999999998E-3</v>
      </c>
      <c r="H42" s="208">
        <f t="shared" si="1"/>
        <v>274000</v>
      </c>
      <c r="I42" s="161"/>
      <c r="K42" s="161"/>
      <c r="L42" s="161"/>
      <c r="M42" s="161"/>
      <c r="N42" s="161"/>
      <c r="O42" s="161"/>
      <c r="P42" s="161"/>
    </row>
    <row r="43" spans="1:16" x14ac:dyDescent="0.2">
      <c r="A43" s="14">
        <v>43</v>
      </c>
      <c r="D43" s="161" t="s">
        <v>590</v>
      </c>
      <c r="E43" s="732" t="s">
        <v>591</v>
      </c>
      <c r="F43" s="206">
        <f>VARIABLES!C59</f>
        <v>110000</v>
      </c>
      <c r="G43" s="207">
        <f>(1/(1*365))</f>
        <v>2.7399999999999998E-3</v>
      </c>
      <c r="H43" s="208">
        <f t="shared" si="1"/>
        <v>15070</v>
      </c>
      <c r="I43" s="161"/>
      <c r="L43" s="161"/>
      <c r="M43" s="161"/>
      <c r="N43" s="161"/>
      <c r="O43" s="161"/>
      <c r="P43" s="161"/>
    </row>
    <row r="44" spans="1:16" x14ac:dyDescent="0.2">
      <c r="A44" s="14">
        <v>44</v>
      </c>
      <c r="D44" s="161" t="s">
        <v>592</v>
      </c>
      <c r="E44" s="732" t="s">
        <v>591</v>
      </c>
      <c r="F44" s="206">
        <f>VARIABLES!C61</f>
        <v>1150000</v>
      </c>
      <c r="G44" s="207">
        <f>(1/(3*365))</f>
        <v>9.1299999999999997E-4</v>
      </c>
      <c r="H44" s="208">
        <f t="shared" si="1"/>
        <v>52497.5</v>
      </c>
      <c r="I44" s="161"/>
      <c r="K44" s="161"/>
      <c r="L44" s="161"/>
      <c r="M44" s="161"/>
      <c r="N44" s="161"/>
      <c r="O44" s="161"/>
      <c r="P44" s="161"/>
    </row>
    <row r="45" spans="1:16" x14ac:dyDescent="0.2">
      <c r="A45" s="14">
        <v>45</v>
      </c>
      <c r="D45" s="161" t="s">
        <v>593</v>
      </c>
      <c r="E45" s="732" t="s">
        <v>399</v>
      </c>
      <c r="F45" s="206">
        <f>VARIABLES!C63</f>
        <v>85500000</v>
      </c>
      <c r="G45" s="207">
        <f>(1/(5*365))</f>
        <v>5.4799999999999998E-4</v>
      </c>
      <c r="H45" s="208">
        <f t="shared" si="1"/>
        <v>468540</v>
      </c>
      <c r="I45" s="161"/>
      <c r="K45" s="161"/>
      <c r="L45" s="161"/>
      <c r="M45" s="161"/>
      <c r="N45" s="161"/>
      <c r="O45" s="161"/>
      <c r="P45" s="161"/>
    </row>
    <row r="46" spans="1:16" x14ac:dyDescent="0.2">
      <c r="A46" s="14">
        <v>46</v>
      </c>
      <c r="B46" s="135"/>
      <c r="C46" s="18"/>
      <c r="D46" s="161" t="s">
        <v>594</v>
      </c>
      <c r="E46" s="732" t="s">
        <v>399</v>
      </c>
      <c r="F46" s="206">
        <f>VARIABLES!C65</f>
        <v>85500000</v>
      </c>
      <c r="G46" s="207">
        <f>(1/(5*365))</f>
        <v>5.4799999999999998E-4</v>
      </c>
      <c r="H46" s="208">
        <f t="shared" si="1"/>
        <v>468540</v>
      </c>
      <c r="I46" s="161"/>
      <c r="K46" s="161"/>
      <c r="L46" s="161"/>
      <c r="M46" s="161"/>
      <c r="N46" s="161"/>
      <c r="O46" s="161"/>
      <c r="P46" s="161"/>
    </row>
    <row r="47" spans="1:16" x14ac:dyDescent="0.2">
      <c r="A47" s="14">
        <v>47</v>
      </c>
      <c r="D47" s="161"/>
      <c r="E47" s="161"/>
      <c r="F47" s="161"/>
      <c r="G47" s="161"/>
      <c r="H47" s="210">
        <f>SUM(H40:H46)</f>
        <v>1382501.25</v>
      </c>
      <c r="I47" s="161" t="s">
        <v>50</v>
      </c>
      <c r="K47" s="161"/>
      <c r="L47" s="161"/>
      <c r="M47" s="161"/>
      <c r="N47" s="161"/>
      <c r="O47" s="161"/>
      <c r="P47" s="161"/>
    </row>
    <row r="48" spans="1:16" x14ac:dyDescent="0.2">
      <c r="A48" s="14">
        <v>48</v>
      </c>
      <c r="D48" s="161"/>
      <c r="E48" s="161"/>
      <c r="F48" s="161"/>
      <c r="G48" s="161"/>
      <c r="H48" s="211"/>
      <c r="I48" s="161"/>
      <c r="K48" s="161"/>
      <c r="L48" s="161"/>
      <c r="M48" s="161"/>
      <c r="N48" s="161"/>
      <c r="O48" s="161"/>
      <c r="P48" s="161"/>
    </row>
    <row r="49" spans="1:16" x14ac:dyDescent="0.2">
      <c r="A49" s="14">
        <v>49</v>
      </c>
      <c r="D49" s="161"/>
      <c r="E49" s="161"/>
      <c r="F49" s="161"/>
      <c r="G49" s="18" t="s">
        <v>560</v>
      </c>
      <c r="H49" s="238">
        <f>(H47*TDP)*(TDT/50)</f>
        <v>504612956.25</v>
      </c>
      <c r="I49" t="s">
        <v>595</v>
      </c>
      <c r="K49" s="161"/>
      <c r="L49" s="161"/>
      <c r="M49" s="161"/>
      <c r="N49" s="161"/>
      <c r="O49" s="161"/>
      <c r="P49" s="161"/>
    </row>
    <row r="50" spans="1:16" x14ac:dyDescent="0.2">
      <c r="A50" s="14">
        <v>50</v>
      </c>
      <c r="D50" s="161"/>
      <c r="E50" s="161"/>
      <c r="F50" s="161"/>
      <c r="G50" s="161"/>
      <c r="H50" s="211"/>
      <c r="I50" s="161"/>
      <c r="K50" s="161"/>
      <c r="L50" s="161"/>
      <c r="M50" s="161"/>
      <c r="N50" s="161"/>
      <c r="O50" s="161"/>
      <c r="P50" s="161"/>
    </row>
    <row r="51" spans="1:16" x14ac:dyDescent="0.2">
      <c r="A51" s="14">
        <v>51</v>
      </c>
      <c r="B51" s="204" t="s">
        <v>596</v>
      </c>
      <c r="C51" s="205"/>
      <c r="D51" s="212"/>
      <c r="E51" s="212"/>
      <c r="F51" s="212"/>
      <c r="G51" s="213"/>
      <c r="H51" s="214"/>
      <c r="I51" s="212"/>
      <c r="J51" s="205"/>
      <c r="K51" s="212"/>
      <c r="L51" s="212"/>
      <c r="M51" s="212"/>
      <c r="N51" s="212"/>
      <c r="O51" s="212"/>
      <c r="P51" s="212"/>
    </row>
    <row r="52" spans="1:16" x14ac:dyDescent="0.2">
      <c r="A52" s="14">
        <v>52</v>
      </c>
      <c r="D52" s="161"/>
      <c r="E52" s="161"/>
      <c r="F52" s="161"/>
      <c r="G52" s="200"/>
      <c r="H52" s="215"/>
      <c r="I52" s="161"/>
      <c r="K52" s="161"/>
      <c r="L52" s="161"/>
    </row>
    <row r="53" spans="1:16" x14ac:dyDescent="0.2">
      <c r="A53" s="14">
        <v>53</v>
      </c>
      <c r="C53" s="18" t="s">
        <v>597</v>
      </c>
      <c r="D53" s="13">
        <f>(30*5)*(TDT/50)</f>
        <v>150</v>
      </c>
      <c r="E53" t="s">
        <v>538</v>
      </c>
      <c r="K53" s="161"/>
      <c r="L53" s="161"/>
    </row>
    <row r="54" spans="1:16" x14ac:dyDescent="0.2">
      <c r="A54" s="14">
        <v>54</v>
      </c>
      <c r="C54" s="18"/>
      <c r="F54" s="14" t="s">
        <v>539</v>
      </c>
      <c r="G54" s="14" t="s">
        <v>540</v>
      </c>
      <c r="H54" s="14" t="s">
        <v>541</v>
      </c>
      <c r="J54" s="268" t="s">
        <v>586</v>
      </c>
      <c r="K54" s="161"/>
      <c r="L54" s="161"/>
    </row>
    <row r="55" spans="1:16" x14ac:dyDescent="0.2">
      <c r="A55" s="14">
        <v>55</v>
      </c>
      <c r="C55" s="18" t="s">
        <v>542</v>
      </c>
      <c r="D55" s="60">
        <v>0.1</v>
      </c>
      <c r="E55" t="s">
        <v>543</v>
      </c>
      <c r="F55" s="14" t="s">
        <v>544</v>
      </c>
      <c r="G55" s="192">
        <f>VARIABLES!C11</f>
        <v>820685.87</v>
      </c>
      <c r="H55" s="188">
        <f>(D55*$D$53*G55)</f>
        <v>12310288.050000001</v>
      </c>
      <c r="J55" s="51">
        <f>(H63/50)</f>
        <v>1641842.43</v>
      </c>
      <c r="K55" s="161" t="s">
        <v>588</v>
      </c>
      <c r="L55" s="161"/>
    </row>
    <row r="56" spans="1:16" x14ac:dyDescent="0.2">
      <c r="A56" s="14">
        <v>56</v>
      </c>
      <c r="C56" s="18" t="s">
        <v>545</v>
      </c>
      <c r="D56" s="60">
        <v>0.1</v>
      </c>
      <c r="E56" t="s">
        <v>546</v>
      </c>
      <c r="F56" s="14" t="s">
        <v>547</v>
      </c>
      <c r="G56" s="192">
        <f>VARIABLES!C13</f>
        <v>349386.66</v>
      </c>
      <c r="H56" s="188">
        <f t="shared" ref="H56:H61" si="2">(D56*$D$53*G56)</f>
        <v>5240799.9000000004</v>
      </c>
      <c r="K56" s="161"/>
      <c r="L56" s="161"/>
    </row>
    <row r="57" spans="1:16" x14ac:dyDescent="0.2">
      <c r="A57" s="14">
        <v>57</v>
      </c>
      <c r="C57" s="18" t="s">
        <v>548</v>
      </c>
      <c r="D57" s="14">
        <v>0.75</v>
      </c>
      <c r="E57" t="s">
        <v>549</v>
      </c>
      <c r="F57" s="14" t="s">
        <v>550</v>
      </c>
      <c r="G57" s="192">
        <f>VARIABLES!C15</f>
        <v>21698.53</v>
      </c>
      <c r="H57" s="188">
        <f t="shared" si="2"/>
        <v>2441084.63</v>
      </c>
      <c r="K57" s="161"/>
      <c r="L57" s="161"/>
    </row>
    <row r="58" spans="1:16" x14ac:dyDescent="0.2">
      <c r="A58" s="14">
        <v>58</v>
      </c>
      <c r="C58" s="18" t="s">
        <v>551</v>
      </c>
      <c r="D58" s="14">
        <v>1.5</v>
      </c>
      <c r="E58" t="s">
        <v>549</v>
      </c>
      <c r="F58" s="14" t="s">
        <v>552</v>
      </c>
      <c r="G58" s="192">
        <f>VARIABLES!C17</f>
        <v>110358.44</v>
      </c>
      <c r="H58" s="188">
        <f t="shared" si="2"/>
        <v>24830649</v>
      </c>
      <c r="K58" s="161"/>
      <c r="L58" s="161"/>
    </row>
    <row r="59" spans="1:16" x14ac:dyDescent="0.2">
      <c r="A59" s="14">
        <v>59</v>
      </c>
      <c r="C59" s="18" t="s">
        <v>553</v>
      </c>
      <c r="D59" s="14">
        <v>12.5</v>
      </c>
      <c r="E59" t="s">
        <v>554</v>
      </c>
      <c r="F59" s="14" t="s">
        <v>555</v>
      </c>
      <c r="G59" s="193">
        <f>VARIABLES!C19</f>
        <v>11144.63</v>
      </c>
      <c r="H59" s="188">
        <f t="shared" si="2"/>
        <v>20896181.25</v>
      </c>
      <c r="K59" s="161"/>
      <c r="L59" s="161"/>
    </row>
    <row r="60" spans="1:16" x14ac:dyDescent="0.2">
      <c r="A60" s="14">
        <v>60</v>
      </c>
      <c r="C60" s="18" t="s">
        <v>556</v>
      </c>
      <c r="D60" s="14">
        <v>12.5</v>
      </c>
      <c r="E60" t="s">
        <v>554</v>
      </c>
      <c r="F60" s="14" t="s">
        <v>557</v>
      </c>
      <c r="G60" s="192">
        <f>VARIABLES!C21</f>
        <v>5613.22</v>
      </c>
      <c r="H60" s="188">
        <f t="shared" si="2"/>
        <v>10524787.5</v>
      </c>
      <c r="K60" s="161"/>
      <c r="L60" s="161"/>
    </row>
    <row r="61" spans="1:16" x14ac:dyDescent="0.2">
      <c r="A61" s="14">
        <v>61</v>
      </c>
      <c r="C61" s="18" t="s">
        <v>558</v>
      </c>
      <c r="D61" s="14">
        <v>12.5</v>
      </c>
      <c r="E61" t="s">
        <v>554</v>
      </c>
      <c r="F61" s="14" t="s">
        <v>559</v>
      </c>
      <c r="G61" s="192">
        <f>VARIABLES!C23</f>
        <v>3119.11</v>
      </c>
      <c r="H61" s="188">
        <f t="shared" si="2"/>
        <v>5848331.25</v>
      </c>
      <c r="K61" s="161"/>
      <c r="L61" s="161"/>
    </row>
    <row r="62" spans="1:16" x14ac:dyDescent="0.2">
      <c r="A62" s="14">
        <v>62</v>
      </c>
      <c r="C62" s="18"/>
      <c r="D62" s="14"/>
      <c r="F62" s="14"/>
      <c r="G62" s="189"/>
      <c r="H62" s="188"/>
      <c r="K62" s="161"/>
      <c r="L62" s="161"/>
    </row>
    <row r="63" spans="1:16" x14ac:dyDescent="0.2">
      <c r="A63" s="14">
        <v>63</v>
      </c>
      <c r="G63" s="18" t="s">
        <v>560</v>
      </c>
      <c r="H63" s="238">
        <f>SUM(H55:H61)</f>
        <v>82092121.579999998</v>
      </c>
      <c r="I63" t="s">
        <v>561</v>
      </c>
      <c r="K63" s="161"/>
      <c r="L63" s="161"/>
    </row>
    <row r="64" spans="1:16" x14ac:dyDescent="0.2">
      <c r="A64" s="14">
        <v>64</v>
      </c>
      <c r="D64" s="161"/>
      <c r="E64" s="161"/>
      <c r="F64" s="161"/>
      <c r="G64" s="200"/>
      <c r="H64" s="215"/>
      <c r="I64" s="161"/>
      <c r="K64" s="161"/>
      <c r="L64" s="161"/>
    </row>
    <row r="65" spans="1:16" x14ac:dyDescent="0.2">
      <c r="A65" s="14">
        <v>65</v>
      </c>
    </row>
    <row r="66" spans="1:16" x14ac:dyDescent="0.2">
      <c r="A66" s="14">
        <v>66</v>
      </c>
      <c r="B66" s="204" t="s">
        <v>598</v>
      </c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</row>
    <row r="67" spans="1:16" x14ac:dyDescent="0.2">
      <c r="A67" s="14">
        <v>67</v>
      </c>
    </row>
    <row r="68" spans="1:16" x14ac:dyDescent="0.2">
      <c r="A68" s="14">
        <v>68</v>
      </c>
      <c r="B68" t="s">
        <v>598</v>
      </c>
      <c r="D68" t="s">
        <v>599</v>
      </c>
      <c r="E68" s="192">
        <f>VARIABLES!C67</f>
        <v>1116463.3500000001</v>
      </c>
      <c r="F68" t="s">
        <v>600</v>
      </c>
      <c r="G68" s="51">
        <f>(6*6)*(TDT/50)</f>
        <v>36</v>
      </c>
      <c r="H68" t="s">
        <v>538</v>
      </c>
      <c r="J68" s="18" t="s">
        <v>601</v>
      </c>
      <c r="K68" s="234">
        <f>(E68*G68)</f>
        <v>40192681</v>
      </c>
      <c r="L68" t="s">
        <v>561</v>
      </c>
      <c r="P68" s="403" t="s">
        <v>128</v>
      </c>
    </row>
    <row r="69" spans="1:16" x14ac:dyDescent="0.2">
      <c r="A69" s="14">
        <v>69</v>
      </c>
    </row>
    <row r="70" spans="1:16" x14ac:dyDescent="0.2">
      <c r="A70" s="14">
        <v>70</v>
      </c>
      <c r="B70" t="s">
        <v>602</v>
      </c>
      <c r="D70" t="s">
        <v>603</v>
      </c>
      <c r="E70" s="192">
        <f>VARIABLES!C69</f>
        <v>1722816.14</v>
      </c>
      <c r="F70" t="s">
        <v>600</v>
      </c>
      <c r="G70" s="51">
        <f>(3*5)*(TDT/50)</f>
        <v>15</v>
      </c>
      <c r="H70" t="s">
        <v>538</v>
      </c>
      <c r="J70" s="18" t="s">
        <v>604</v>
      </c>
      <c r="K70" s="234">
        <f>(E70*G70)</f>
        <v>25842242</v>
      </c>
      <c r="L70" t="s">
        <v>561</v>
      </c>
      <c r="P70" s="403" t="s">
        <v>128</v>
      </c>
    </row>
    <row r="71" spans="1:16" x14ac:dyDescent="0.2">
      <c r="A71" s="14">
        <v>71</v>
      </c>
    </row>
    <row r="72" spans="1:16" x14ac:dyDescent="0.2">
      <c r="A72" s="14">
        <v>72</v>
      </c>
      <c r="B72" s="204" t="s">
        <v>605</v>
      </c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</row>
    <row r="73" spans="1:16" x14ac:dyDescent="0.2">
      <c r="A73" s="14">
        <v>73</v>
      </c>
    </row>
    <row r="74" spans="1:16" x14ac:dyDescent="0.2">
      <c r="A74" s="14">
        <v>74</v>
      </c>
      <c r="B74" s="18" t="s">
        <v>606</v>
      </c>
      <c r="C74" s="191">
        <f>VARIABLES!C71</f>
        <v>1000000</v>
      </c>
      <c r="D74" t="s">
        <v>506</v>
      </c>
      <c r="I74" s="18" t="s">
        <v>606</v>
      </c>
      <c r="J74" s="234">
        <f>((C74*12)/365)*TDP</f>
        <v>12000000</v>
      </c>
      <c r="K74" t="s">
        <v>607</v>
      </c>
    </row>
    <row r="75" spans="1:16" x14ac:dyDescent="0.2">
      <c r="A75" s="14">
        <v>75</v>
      </c>
    </row>
    <row r="76" spans="1:16" x14ac:dyDescent="0.2">
      <c r="A76" s="14">
        <v>76</v>
      </c>
      <c r="B76" s="200" t="s">
        <v>608</v>
      </c>
      <c r="C76" s="224">
        <f>VARIABLES!C73</f>
        <v>3000000</v>
      </c>
      <c r="D76" s="217" t="s">
        <v>609</v>
      </c>
    </row>
    <row r="77" spans="1:16" ht="12.75" x14ac:dyDescent="0.2">
      <c r="A77" s="14">
        <v>77</v>
      </c>
      <c r="B77" s="218"/>
      <c r="C77" s="219">
        <f>(C76*12)</f>
        <v>36000000</v>
      </c>
      <c r="D77" s="217" t="s">
        <v>610</v>
      </c>
    </row>
    <row r="78" spans="1:16" ht="12.75" x14ac:dyDescent="0.2">
      <c r="A78" s="14">
        <v>78</v>
      </c>
      <c r="B78" s="200" t="s">
        <v>611</v>
      </c>
      <c r="C78" s="220">
        <f>VARIABLES!C31</f>
        <v>1.67</v>
      </c>
      <c r="D78" s="218"/>
      <c r="I78" s="221" t="s">
        <v>608</v>
      </c>
      <c r="J78" s="235">
        <f>((ROUNDUP((C77*(1+C78)),0))/365)*TDP</f>
        <v>96120000</v>
      </c>
      <c r="K78" t="s">
        <v>612</v>
      </c>
    </row>
    <row r="79" spans="1:16" x14ac:dyDescent="0.2">
      <c r="A79" s="14">
        <v>79</v>
      </c>
    </row>
    <row r="80" spans="1:16" x14ac:dyDescent="0.2">
      <c r="A80" s="14">
        <v>80</v>
      </c>
      <c r="B80" s="204" t="s">
        <v>613</v>
      </c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</row>
    <row r="81" spans="1:16" x14ac:dyDescent="0.2">
      <c r="A81" s="14">
        <v>81</v>
      </c>
    </row>
    <row r="82" spans="1:16" x14ac:dyDescent="0.2">
      <c r="A82" s="14">
        <v>82</v>
      </c>
      <c r="C82" s="200" t="s">
        <v>614</v>
      </c>
      <c r="D82" s="226">
        <f>VARIABLES!C75</f>
        <v>2160000000</v>
      </c>
      <c r="E82" s="161" t="s">
        <v>506</v>
      </c>
    </row>
    <row r="83" spans="1:16" x14ac:dyDescent="0.2">
      <c r="A83" s="14">
        <v>83</v>
      </c>
      <c r="C83" s="200" t="s">
        <v>583</v>
      </c>
      <c r="D83" s="222">
        <f>(1/(20*365))</f>
        <v>1.3999999999999999E-4</v>
      </c>
      <c r="E83" s="161" t="s">
        <v>506</v>
      </c>
      <c r="I83" s="223" t="s">
        <v>614</v>
      </c>
      <c r="J83" s="239">
        <f>(D82*D83)*(TDP)</f>
        <v>110376000</v>
      </c>
      <c r="K83" t="s">
        <v>615</v>
      </c>
    </row>
    <row r="84" spans="1:16" x14ac:dyDescent="0.2">
      <c r="A84" s="14">
        <v>84</v>
      </c>
    </row>
    <row r="85" spans="1:16" x14ac:dyDescent="0.2">
      <c r="A85" s="14">
        <v>85</v>
      </c>
      <c r="C85" s="200" t="s">
        <v>616</v>
      </c>
      <c r="D85" s="224">
        <f>IF(FCAS!D14=1,IF(FCAS!C12=1,VLOOKUP(21,TABSAL!$B$8:$AZ$110,FCAS!$H$14+2),VLOOKUP(21,TABSAL!$B$8:$AZ$110,FCAS!$H$14+2)*1.35),IF(FCAS!C12=1,VLOOKUP(21,TABSAL!$B$8:$AZ$110,11),VLOOKUP(21,TABSAL!$B$8:$AZ$110,11)*1.35))*30</f>
        <v>197841.3</v>
      </c>
      <c r="E85" s="217" t="s">
        <v>609</v>
      </c>
    </row>
    <row r="86" spans="1:16" ht="12.75" x14ac:dyDescent="0.2">
      <c r="A86" s="14">
        <v>86</v>
      </c>
      <c r="C86" s="218"/>
      <c r="D86" s="224">
        <f>(D85*12)</f>
        <v>2374095.6</v>
      </c>
      <c r="E86" s="217" t="s">
        <v>610</v>
      </c>
    </row>
    <row r="87" spans="1:16" ht="12.75" x14ac:dyDescent="0.2">
      <c r="A87" s="14">
        <v>87</v>
      </c>
      <c r="C87" s="200" t="s">
        <v>611</v>
      </c>
      <c r="D87" s="225">
        <f>VARIABLES!C31</f>
        <v>1.67</v>
      </c>
      <c r="E87" s="218"/>
      <c r="I87" s="223" t="s">
        <v>577</v>
      </c>
      <c r="J87" s="239">
        <f>((ROUNDUP((D86*(1+D87)),0))/365)*TDP</f>
        <v>6338836</v>
      </c>
      <c r="K87" t="s">
        <v>612</v>
      </c>
    </row>
    <row r="88" spans="1:16" x14ac:dyDescent="0.2">
      <c r="A88" s="14">
        <v>88</v>
      </c>
    </row>
    <row r="89" spans="1:16" x14ac:dyDescent="0.2">
      <c r="A89" s="14">
        <v>89</v>
      </c>
      <c r="B89" s="204" t="s">
        <v>617</v>
      </c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</row>
    <row r="90" spans="1:16" x14ac:dyDescent="0.2">
      <c r="A90" s="14">
        <v>90</v>
      </c>
    </row>
    <row r="91" spans="1:16" x14ac:dyDescent="0.2">
      <c r="A91" s="14">
        <v>91</v>
      </c>
      <c r="B91" t="s">
        <v>618</v>
      </c>
      <c r="J91" s="240">
        <f>(H49)</f>
        <v>504612956.25</v>
      </c>
      <c r="K91" t="s">
        <v>619</v>
      </c>
    </row>
    <row r="92" spans="1:16" x14ac:dyDescent="0.2">
      <c r="A92" s="14">
        <v>92</v>
      </c>
      <c r="B92" s="161"/>
      <c r="C92" s="161"/>
      <c r="D92" s="161"/>
    </row>
    <row r="93" spans="1:16" x14ac:dyDescent="0.2">
      <c r="A93" s="14">
        <v>93</v>
      </c>
      <c r="B93" t="s">
        <v>620</v>
      </c>
      <c r="J93" s="240">
        <f>H23</f>
        <v>1617856954.51</v>
      </c>
      <c r="K93" t="s">
        <v>619</v>
      </c>
    </row>
    <row r="94" spans="1:16" x14ac:dyDescent="0.2">
      <c r="A94" s="14">
        <v>94</v>
      </c>
    </row>
    <row r="95" spans="1:16" x14ac:dyDescent="0.2">
      <c r="A95" s="14">
        <v>95</v>
      </c>
      <c r="B95" t="s">
        <v>621</v>
      </c>
      <c r="J95" s="240">
        <f>(J74+J78+J83+J87)</f>
        <v>224834836</v>
      </c>
      <c r="K95" t="s">
        <v>619</v>
      </c>
    </row>
    <row r="96" spans="1:16" x14ac:dyDescent="0.2">
      <c r="A96" s="14">
        <v>96</v>
      </c>
    </row>
    <row r="97" spans="1:16" x14ac:dyDescent="0.2">
      <c r="A97" s="14">
        <v>97</v>
      </c>
      <c r="B97" t="s">
        <v>622</v>
      </c>
      <c r="J97" s="240">
        <f>I31</f>
        <v>1877445649.1500001</v>
      </c>
      <c r="K97" t="s">
        <v>619</v>
      </c>
    </row>
    <row r="98" spans="1:16" x14ac:dyDescent="0.2">
      <c r="A98" s="14">
        <v>98</v>
      </c>
    </row>
    <row r="99" spans="1:16" x14ac:dyDescent="0.2">
      <c r="A99" s="14">
        <v>99</v>
      </c>
      <c r="B99" s="195" t="s">
        <v>575</v>
      </c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</row>
    <row r="100" spans="1:16" x14ac:dyDescent="0.2">
      <c r="A100" s="14">
        <v>100</v>
      </c>
    </row>
    <row r="101" spans="1:16" x14ac:dyDescent="0.2">
      <c r="A101" s="14">
        <v>101</v>
      </c>
      <c r="B101" s="418" t="s">
        <v>623</v>
      </c>
      <c r="C101" s="203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</row>
    <row r="102" spans="1:16" x14ac:dyDescent="0.2">
      <c r="A102" s="14">
        <v>102</v>
      </c>
    </row>
    <row r="103" spans="1:16" x14ac:dyDescent="0.2">
      <c r="A103" s="14">
        <v>103</v>
      </c>
      <c r="F103" s="283" t="s">
        <v>624</v>
      </c>
      <c r="H103" s="283" t="s">
        <v>36</v>
      </c>
    </row>
    <row r="104" spans="1:16" x14ac:dyDescent="0.2">
      <c r="A104" s="14">
        <v>104</v>
      </c>
      <c r="C104" s="221" t="s">
        <v>625</v>
      </c>
      <c r="D104" s="285">
        <f>IF(OR(FCAS!B68=1,FCAS!B68=TRUE),FCAS!E68,0)</f>
        <v>25</v>
      </c>
      <c r="F104" s="177">
        <f>(D104*2)</f>
        <v>50</v>
      </c>
      <c r="G104" s="283" t="s">
        <v>626</v>
      </c>
      <c r="H104" s="177">
        <f>F104</f>
        <v>50</v>
      </c>
    </row>
    <row r="105" spans="1:16" x14ac:dyDescent="0.2">
      <c r="A105" s="14">
        <v>105</v>
      </c>
      <c r="C105" s="284"/>
    </row>
    <row r="106" spans="1:16" x14ac:dyDescent="0.2">
      <c r="A106" s="14">
        <v>106</v>
      </c>
      <c r="C106" s="221" t="s">
        <v>627</v>
      </c>
      <c r="D106" s="285">
        <f>IF(OR(FCAS!B70=1,FCAS!B70=TRUE),FCAS!E70,0)</f>
        <v>0</v>
      </c>
      <c r="F106" s="177">
        <f>(D106*2)</f>
        <v>0</v>
      </c>
      <c r="G106" s="399">
        <f>D106</f>
        <v>0</v>
      </c>
      <c r="H106" s="177">
        <f>(F106+G106)</f>
        <v>0</v>
      </c>
    </row>
    <row r="107" spans="1:16" x14ac:dyDescent="0.2">
      <c r="A107" s="14">
        <v>107</v>
      </c>
      <c r="C107" s="284"/>
    </row>
    <row r="108" spans="1:16" x14ac:dyDescent="0.2">
      <c r="A108" s="14">
        <v>108</v>
      </c>
      <c r="C108" s="221" t="s">
        <v>628</v>
      </c>
      <c r="D108" s="285">
        <f>IF(OR(FCAS!B72=1,FCAS!B72=TRUE),FCAS!E72,0)</f>
        <v>0</v>
      </c>
      <c r="F108" s="177">
        <f xml:space="preserve"> D108+(D108*1.5)</f>
        <v>0</v>
      </c>
      <c r="H108" s="177">
        <f>F108</f>
        <v>0</v>
      </c>
    </row>
    <row r="109" spans="1:16" x14ac:dyDescent="0.2">
      <c r="A109" s="14">
        <v>109</v>
      </c>
    </row>
    <row r="110" spans="1:16" x14ac:dyDescent="0.2">
      <c r="A110" s="14">
        <v>110</v>
      </c>
      <c r="G110" s="14" t="s">
        <v>56</v>
      </c>
      <c r="I110" s="14" t="s">
        <v>498</v>
      </c>
    </row>
    <row r="111" spans="1:16" x14ac:dyDescent="0.2">
      <c r="A111" s="14">
        <v>111</v>
      </c>
      <c r="F111" s="18" t="s">
        <v>629</v>
      </c>
      <c r="G111" s="147">
        <f>(G106/TDT)</f>
        <v>0</v>
      </c>
      <c r="H111" t="s">
        <v>56</v>
      </c>
      <c r="I111" s="147">
        <f>(H104+H106+H108)/TDT</f>
        <v>1</v>
      </c>
      <c r="J111" t="s">
        <v>56</v>
      </c>
    </row>
    <row r="112" spans="1:16" x14ac:dyDescent="0.2">
      <c r="A112" s="14">
        <v>112</v>
      </c>
    </row>
    <row r="113" spans="1:16" x14ac:dyDescent="0.2">
      <c r="A113" s="14">
        <v>113</v>
      </c>
      <c r="B113" s="418" t="s">
        <v>630</v>
      </c>
      <c r="C113" s="203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</row>
    <row r="114" spans="1:16" x14ac:dyDescent="0.2">
      <c r="A114" s="14">
        <v>114</v>
      </c>
    </row>
    <row r="115" spans="1:16" x14ac:dyDescent="0.2">
      <c r="A115" s="14">
        <v>115</v>
      </c>
      <c r="E115" s="18" t="s">
        <v>631</v>
      </c>
      <c r="F115" s="269">
        <f>PERIODOS!F177</f>
        <v>4.6600000000000003E-2</v>
      </c>
      <c r="J115" s="18" t="s">
        <v>632</v>
      </c>
      <c r="K115" s="269">
        <f>PERIODOS!L177</f>
        <v>0.21920000000000001</v>
      </c>
    </row>
    <row r="116" spans="1:16" x14ac:dyDescent="0.2">
      <c r="A116" s="14">
        <v>116</v>
      </c>
    </row>
    <row r="117" spans="1:16" x14ac:dyDescent="0.2">
      <c r="A117" s="14">
        <v>117</v>
      </c>
      <c r="B117" s="227" t="s">
        <v>633</v>
      </c>
    </row>
    <row r="118" spans="1:16" x14ac:dyDescent="0.2">
      <c r="A118" s="14">
        <v>118</v>
      </c>
      <c r="B118" s="227" t="s">
        <v>634</v>
      </c>
      <c r="D118" s="14" t="s">
        <v>635</v>
      </c>
    </row>
    <row r="119" spans="1:16" x14ac:dyDescent="0.2">
      <c r="A119" s="14">
        <v>119</v>
      </c>
      <c r="B119" s="14" t="s">
        <v>54</v>
      </c>
      <c r="D119" s="14" t="s">
        <v>43</v>
      </c>
      <c r="F119" s="14" t="s">
        <v>636</v>
      </c>
      <c r="H119" s="14" t="s">
        <v>56</v>
      </c>
      <c r="K119" s="14" t="s">
        <v>498</v>
      </c>
    </row>
    <row r="120" spans="1:16" x14ac:dyDescent="0.2">
      <c r="A120" s="14">
        <v>120</v>
      </c>
      <c r="B120" s="256">
        <f>ANTIG!I9</f>
        <v>12</v>
      </c>
      <c r="D120" s="230">
        <f>'DIST-PRS'!E8</f>
        <v>9</v>
      </c>
      <c r="F120" s="230">
        <f>ROT!D9</f>
        <v>1</v>
      </c>
      <c r="H120" s="51">
        <f>D120*(365*(B120/12))*F120*$F$115</f>
        <v>153.08000000000001</v>
      </c>
      <c r="K120" s="51">
        <f>D120*(365*(B120/12))*F120*$K$115</f>
        <v>720.07</v>
      </c>
    </row>
    <row r="121" spans="1:16" x14ac:dyDescent="0.2">
      <c r="A121" s="14">
        <v>121</v>
      </c>
      <c r="B121" s="228">
        <f>ANTIG!I10</f>
        <v>9</v>
      </c>
      <c r="D121" s="230">
        <f>'DIST-PRS'!E9</f>
        <v>30</v>
      </c>
      <c r="F121" s="230">
        <f>ROT!D10</f>
        <v>1</v>
      </c>
      <c r="H121" s="51">
        <f>D121*(365*(B121/12))*F121*$F$115</f>
        <v>382.7</v>
      </c>
      <c r="K121" s="51">
        <f>D121*(365*(B121/12))*F121*$K$115</f>
        <v>1800.18</v>
      </c>
    </row>
    <row r="122" spans="1:16" x14ac:dyDescent="0.2">
      <c r="A122" s="14">
        <v>122</v>
      </c>
      <c r="B122" s="228">
        <f>ANTIG!I11</f>
        <v>6</v>
      </c>
      <c r="D122" s="230">
        <f>'DIST-PRS'!E10</f>
        <v>8</v>
      </c>
      <c r="F122" s="230">
        <f>ROT!D11</f>
        <v>2</v>
      </c>
      <c r="H122" s="51">
        <f>D122*(365*(B122/12))*F122*$F$115</f>
        <v>136.07</v>
      </c>
      <c r="K122" s="51">
        <f>D122*(365*(B122/12))*F122*$K$115</f>
        <v>640.05999999999995</v>
      </c>
    </row>
    <row r="123" spans="1:16" x14ac:dyDescent="0.2">
      <c r="A123" s="14">
        <v>123</v>
      </c>
      <c r="B123" s="228">
        <f>ANTIG!I12</f>
        <v>4</v>
      </c>
      <c r="D123" s="230">
        <f>'DIST-PRS'!E11</f>
        <v>3</v>
      </c>
      <c r="F123" s="230">
        <f>ROT!D12</f>
        <v>3</v>
      </c>
      <c r="H123" s="51">
        <f>D123*(365*(B123/12))*F123*$F$115</f>
        <v>51.03</v>
      </c>
      <c r="K123" s="51">
        <f>D123*(365*(B123/12))*F123*$K$115</f>
        <v>240.02</v>
      </c>
    </row>
    <row r="124" spans="1:16" x14ac:dyDescent="0.2">
      <c r="A124" s="14">
        <v>124</v>
      </c>
      <c r="D124" s="216">
        <f>SUM(D120:D123)</f>
        <v>50</v>
      </c>
      <c r="H124" s="53">
        <f>SUM(H120:H123)</f>
        <v>722.88</v>
      </c>
      <c r="K124" s="53">
        <f>SUM(K120:K123)</f>
        <v>3400.33</v>
      </c>
    </row>
    <row r="125" spans="1:16" x14ac:dyDescent="0.2">
      <c r="A125" s="14">
        <v>125</v>
      </c>
    </row>
    <row r="126" spans="1:16" x14ac:dyDescent="0.2">
      <c r="A126" s="14">
        <v>126</v>
      </c>
      <c r="H126" s="279">
        <f>(H124/TDT)</f>
        <v>14.457599999999999</v>
      </c>
      <c r="I126" t="s">
        <v>637</v>
      </c>
      <c r="K126" s="279">
        <f>(K124/TDT)</f>
        <v>68.006600000000006</v>
      </c>
      <c r="L126" t="s">
        <v>637</v>
      </c>
    </row>
    <row r="127" spans="1:16" x14ac:dyDescent="0.2">
      <c r="A127" s="14">
        <v>127</v>
      </c>
    </row>
    <row r="128" spans="1:16" x14ac:dyDescent="0.2">
      <c r="A128" s="14">
        <v>128</v>
      </c>
    </row>
    <row r="129" spans="1:16" x14ac:dyDescent="0.2">
      <c r="A129" s="14">
        <v>129</v>
      </c>
      <c r="B129" s="418" t="s">
        <v>638</v>
      </c>
      <c r="C129" s="203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</row>
    <row r="130" spans="1:16" x14ac:dyDescent="0.2">
      <c r="A130" s="14">
        <v>130</v>
      </c>
    </row>
    <row r="131" spans="1:16" x14ac:dyDescent="0.2">
      <c r="A131" s="14">
        <v>131</v>
      </c>
      <c r="E131" s="18" t="s">
        <v>631</v>
      </c>
      <c r="F131" s="269">
        <f>PERIODOS!F177</f>
        <v>4.6600000000000003E-2</v>
      </c>
      <c r="J131" s="18" t="s">
        <v>632</v>
      </c>
      <c r="K131" s="269">
        <f>PERIODOS!L177</f>
        <v>0.21920000000000001</v>
      </c>
    </row>
    <row r="132" spans="1:16" x14ac:dyDescent="0.2">
      <c r="A132" s="14">
        <v>132</v>
      </c>
    </row>
    <row r="133" spans="1:16" x14ac:dyDescent="0.2">
      <c r="A133" s="14">
        <v>133</v>
      </c>
      <c r="B133" s="457" t="s">
        <v>633</v>
      </c>
    </row>
    <row r="134" spans="1:16" x14ac:dyDescent="0.2">
      <c r="A134" s="14">
        <v>134</v>
      </c>
      <c r="B134" s="457" t="s">
        <v>634</v>
      </c>
      <c r="D134" s="14" t="s">
        <v>635</v>
      </c>
    </row>
    <row r="135" spans="1:16" x14ac:dyDescent="0.2">
      <c r="A135" s="14">
        <v>135</v>
      </c>
      <c r="B135" s="14" t="s">
        <v>54</v>
      </c>
      <c r="D135" s="14" t="s">
        <v>43</v>
      </c>
      <c r="F135" s="14" t="s">
        <v>636</v>
      </c>
      <c r="H135" s="14" t="s">
        <v>56</v>
      </c>
      <c r="K135" s="14" t="s">
        <v>498</v>
      </c>
    </row>
    <row r="136" spans="1:16" x14ac:dyDescent="0.2">
      <c r="A136" s="14">
        <v>136</v>
      </c>
      <c r="B136" s="256">
        <f>ANTIG!I9/2</f>
        <v>6</v>
      </c>
      <c r="D136" s="230">
        <f>'DIST-PRS'!E8</f>
        <v>9</v>
      </c>
      <c r="F136" s="230">
        <f>ROT!D9</f>
        <v>1</v>
      </c>
      <c r="H136" s="51">
        <f>D136*(365*(B136/12))*F136*$F$131</f>
        <v>76.540000000000006</v>
      </c>
      <c r="K136" s="51">
        <f>D136*(365*(B136/12))*F136*$K$131</f>
        <v>360.04</v>
      </c>
    </row>
    <row r="137" spans="1:16" x14ac:dyDescent="0.2">
      <c r="A137" s="14">
        <v>137</v>
      </c>
      <c r="B137" s="228">
        <f>ANTIG!I10/2</f>
        <v>5</v>
      </c>
      <c r="D137" s="230">
        <f>'DIST-PRS'!E9</f>
        <v>30</v>
      </c>
      <c r="F137" s="230">
        <f>ROT!D10</f>
        <v>1</v>
      </c>
      <c r="H137" s="51">
        <f>D137*(365*(B137/12))*F137*$F$131</f>
        <v>212.61</v>
      </c>
      <c r="K137" s="51">
        <f>D137*(365*(B137/12))*F137*$K$131</f>
        <v>1000.1</v>
      </c>
    </row>
    <row r="138" spans="1:16" x14ac:dyDescent="0.2">
      <c r="A138" s="14">
        <v>138</v>
      </c>
      <c r="B138" s="228">
        <f>ANTIG!I11/2</f>
        <v>3</v>
      </c>
      <c r="D138" s="230">
        <f>'DIST-PRS'!E10</f>
        <v>8</v>
      </c>
      <c r="F138" s="230">
        <f>ROT!D11</f>
        <v>2</v>
      </c>
      <c r="H138" s="51">
        <f>D138*(365*(B138/12))*F138*$F$131</f>
        <v>68.040000000000006</v>
      </c>
      <c r="K138" s="51">
        <f>D138*(365*(B138/12))*F138*$K$131</f>
        <v>320.02999999999997</v>
      </c>
    </row>
    <row r="139" spans="1:16" x14ac:dyDescent="0.2">
      <c r="A139" s="14">
        <v>139</v>
      </c>
      <c r="B139" s="228">
        <f>ANTIG!I12/2</f>
        <v>2</v>
      </c>
      <c r="D139" s="230">
        <f>'DIST-PRS'!E11</f>
        <v>3</v>
      </c>
      <c r="F139" s="230">
        <f>ROT!D12</f>
        <v>3</v>
      </c>
      <c r="H139" s="51">
        <f>D139*(365*(B139/12))*F139*$F$115</f>
        <v>25.51</v>
      </c>
      <c r="K139" s="51">
        <f>D139*(365*(B139/12))*F139*$K$131</f>
        <v>120.01</v>
      </c>
    </row>
    <row r="140" spans="1:16" x14ac:dyDescent="0.2">
      <c r="A140" s="14">
        <v>140</v>
      </c>
      <c r="D140" s="458">
        <f>SUM(D136:D139)</f>
        <v>50</v>
      </c>
      <c r="H140" s="402">
        <f>SUM(H136:H139)</f>
        <v>382.7</v>
      </c>
      <c r="K140" s="402">
        <f>SUM(K136:K139)</f>
        <v>1800.18</v>
      </c>
    </row>
    <row r="141" spans="1:16" x14ac:dyDescent="0.2">
      <c r="A141" s="14">
        <v>141</v>
      </c>
    </row>
    <row r="142" spans="1:16" x14ac:dyDescent="0.2">
      <c r="A142" s="14">
        <v>142</v>
      </c>
      <c r="H142" s="279">
        <f>(H140/TDT)</f>
        <v>7.6539999999999999</v>
      </c>
      <c r="I142" t="s">
        <v>637</v>
      </c>
      <c r="K142" s="279">
        <f>(K140/TDT)</f>
        <v>36.003599999999999</v>
      </c>
      <c r="L142" t="s">
        <v>637</v>
      </c>
    </row>
    <row r="143" spans="1:16" x14ac:dyDescent="0.2">
      <c r="A143" s="14">
        <v>143</v>
      </c>
    </row>
    <row r="144" spans="1:16" x14ac:dyDescent="0.2">
      <c r="A144" s="14">
        <v>144</v>
      </c>
      <c r="B144" s="418" t="s">
        <v>639</v>
      </c>
      <c r="C144" s="203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</row>
    <row r="145" spans="1:9" x14ac:dyDescent="0.2">
      <c r="A145" s="14">
        <v>145</v>
      </c>
    </row>
    <row r="146" spans="1:9" x14ac:dyDescent="0.2">
      <c r="A146" s="14">
        <v>146</v>
      </c>
      <c r="B146" t="s">
        <v>640</v>
      </c>
    </row>
    <row r="147" spans="1:9" x14ac:dyDescent="0.2">
      <c r="A147" s="14">
        <v>147</v>
      </c>
    </row>
    <row r="148" spans="1:9" x14ac:dyDescent="0.2">
      <c r="A148" s="14">
        <v>148</v>
      </c>
      <c r="H148" s="159" t="s">
        <v>498</v>
      </c>
    </row>
    <row r="149" spans="1:9" x14ac:dyDescent="0.2">
      <c r="A149" s="14">
        <v>149</v>
      </c>
      <c r="C149" s="368" t="s">
        <v>641</v>
      </c>
      <c r="G149" s="18" t="s">
        <v>642</v>
      </c>
      <c r="H149" s="292">
        <f>(FCAS!I104/TDT)/SBP</f>
        <v>8.2000000000000007E-3</v>
      </c>
      <c r="I149" t="s">
        <v>56</v>
      </c>
    </row>
    <row r="150" spans="1:9" x14ac:dyDescent="0.2">
      <c r="A150" s="14">
        <v>150</v>
      </c>
    </row>
    <row r="151" spans="1:9" x14ac:dyDescent="0.2">
      <c r="A151" s="14">
        <v>151</v>
      </c>
      <c r="C151" s="368" t="s">
        <v>643</v>
      </c>
      <c r="G151" s="18" t="s">
        <v>644</v>
      </c>
      <c r="H151" s="292">
        <f>(FCAS!I106/TDT)/SBP</f>
        <v>6.6E-3</v>
      </c>
      <c r="I151" t="s">
        <v>56</v>
      </c>
    </row>
    <row r="152" spans="1:9" x14ac:dyDescent="0.2">
      <c r="A152" s="14">
        <v>152</v>
      </c>
    </row>
    <row r="153" spans="1:9" x14ac:dyDescent="0.2">
      <c r="A153" s="14">
        <v>153</v>
      </c>
      <c r="C153" s="368" t="s">
        <v>645</v>
      </c>
      <c r="G153" s="18" t="s">
        <v>646</v>
      </c>
      <c r="H153" s="292">
        <f>FCAS!K139</f>
        <v>58.14</v>
      </c>
      <c r="I153" t="s">
        <v>56</v>
      </c>
    </row>
    <row r="154" spans="1:9" x14ac:dyDescent="0.2">
      <c r="A154" s="14">
        <v>154</v>
      </c>
    </row>
    <row r="155" spans="1:9" x14ac:dyDescent="0.2">
      <c r="A155" s="14">
        <v>155</v>
      </c>
      <c r="C155" s="368" t="s">
        <v>647</v>
      </c>
      <c r="G155" s="18" t="s">
        <v>648</v>
      </c>
      <c r="H155" s="292">
        <f>FCAS!K154</f>
        <v>7.46E-2</v>
      </c>
      <c r="I155" t="s">
        <v>56</v>
      </c>
    </row>
    <row r="156" spans="1:9" x14ac:dyDescent="0.2">
      <c r="A156" s="14">
        <v>156</v>
      </c>
    </row>
    <row r="157" spans="1:9" x14ac:dyDescent="0.2">
      <c r="A157" s="14">
        <v>157</v>
      </c>
      <c r="C157" s="368" t="s">
        <v>649</v>
      </c>
      <c r="G157" s="18" t="s">
        <v>650</v>
      </c>
      <c r="H157" s="292">
        <f>FCAS!K141</f>
        <v>16.399999999999999</v>
      </c>
      <c r="I157" t="s">
        <v>56</v>
      </c>
    </row>
    <row r="158" spans="1:9" x14ac:dyDescent="0.2">
      <c r="A158" s="14">
        <v>158</v>
      </c>
    </row>
    <row r="159" spans="1:9" x14ac:dyDescent="0.2">
      <c r="A159" s="14">
        <v>159</v>
      </c>
      <c r="C159" s="368" t="s">
        <v>651</v>
      </c>
      <c r="G159" s="18" t="s">
        <v>652</v>
      </c>
      <c r="H159" s="292">
        <f>FCAS!I166</f>
        <v>68.010000000000005</v>
      </c>
      <c r="I159" t="s">
        <v>56</v>
      </c>
    </row>
    <row r="160" spans="1:9" x14ac:dyDescent="0.2">
      <c r="A160" s="14">
        <v>160</v>
      </c>
    </row>
    <row r="161" spans="1:10" x14ac:dyDescent="0.2">
      <c r="A161" s="14">
        <v>161</v>
      </c>
      <c r="C161" s="368" t="s">
        <v>653</v>
      </c>
      <c r="G161" s="18" t="s">
        <v>654</v>
      </c>
      <c r="H161" s="292">
        <f>PERIODOS!F193</f>
        <v>100</v>
      </c>
      <c r="I161" t="s">
        <v>56</v>
      </c>
    </row>
    <row r="162" spans="1:10" x14ac:dyDescent="0.2">
      <c r="A162" s="14">
        <v>162</v>
      </c>
    </row>
    <row r="163" spans="1:10" x14ac:dyDescent="0.2">
      <c r="A163" s="14">
        <v>163</v>
      </c>
      <c r="H163" s="287" t="s">
        <v>655</v>
      </c>
    </row>
    <row r="164" spans="1:10" x14ac:dyDescent="0.2">
      <c r="A164" s="14">
        <v>164</v>
      </c>
      <c r="G164" s="18" t="s">
        <v>656</v>
      </c>
      <c r="H164" s="293">
        <f>(H149+H151+H153+H155+H157+H159+H161)/TDP</f>
        <v>0.66479999999999995</v>
      </c>
      <c r="I164" t="s">
        <v>56</v>
      </c>
    </row>
    <row r="165" spans="1:10" x14ac:dyDescent="0.2">
      <c r="A165" s="14">
        <v>165</v>
      </c>
    </row>
    <row r="166" spans="1:10" x14ac:dyDescent="0.2">
      <c r="A166" s="14">
        <v>166</v>
      </c>
      <c r="C166" s="227" t="s">
        <v>633</v>
      </c>
    </row>
    <row r="167" spans="1:10" x14ac:dyDescent="0.2">
      <c r="A167" s="14">
        <v>167</v>
      </c>
      <c r="C167" s="227" t="s">
        <v>634</v>
      </c>
      <c r="E167" s="14" t="s">
        <v>635</v>
      </c>
    </row>
    <row r="168" spans="1:10" x14ac:dyDescent="0.2">
      <c r="A168" s="14">
        <v>168</v>
      </c>
      <c r="C168" s="14" t="s">
        <v>54</v>
      </c>
      <c r="E168" s="14" t="s">
        <v>43</v>
      </c>
      <c r="G168" s="14" t="s">
        <v>636</v>
      </c>
      <c r="I168" s="14" t="s">
        <v>56</v>
      </c>
    </row>
    <row r="169" spans="1:10" x14ac:dyDescent="0.2">
      <c r="A169" s="14">
        <v>169</v>
      </c>
      <c r="C169" s="256">
        <f>ANTIG!I9</f>
        <v>12</v>
      </c>
      <c r="E169" s="230">
        <f>'DIST-PRS'!E8</f>
        <v>9</v>
      </c>
      <c r="G169" s="230">
        <f>ROT!D9</f>
        <v>1</v>
      </c>
      <c r="I169" s="51">
        <f>(((C169/12)*365)*PERIODOS!$J$197)*(E169*G169)</f>
        <v>1498.62</v>
      </c>
    </row>
    <row r="170" spans="1:10" x14ac:dyDescent="0.2">
      <c r="A170" s="14">
        <v>170</v>
      </c>
      <c r="C170" s="228">
        <f>ANTIG!I10</f>
        <v>9</v>
      </c>
      <c r="E170" s="230">
        <f>'DIST-PRS'!E9</f>
        <v>30</v>
      </c>
      <c r="G170" s="230">
        <f>ROT!D10</f>
        <v>1</v>
      </c>
      <c r="I170" s="51">
        <f>(((C170/12)*365)*PERIODOS!$J$197)*(E170*G170)</f>
        <v>3746.54</v>
      </c>
    </row>
    <row r="171" spans="1:10" x14ac:dyDescent="0.2">
      <c r="A171" s="14">
        <v>171</v>
      </c>
      <c r="C171" s="228">
        <f>ANTIG!I11</f>
        <v>6</v>
      </c>
      <c r="E171" s="230">
        <f>'DIST-PRS'!E10</f>
        <v>8</v>
      </c>
      <c r="G171" s="230">
        <f>ROT!D11</f>
        <v>2</v>
      </c>
      <c r="I171" s="51">
        <f>(((C171/12)*365)*PERIODOS!$J$197)*(E171*G171)</f>
        <v>1332.1</v>
      </c>
    </row>
    <row r="172" spans="1:10" x14ac:dyDescent="0.2">
      <c r="A172" s="14">
        <v>172</v>
      </c>
      <c r="C172" s="228">
        <f>ANTIG!I12</f>
        <v>4</v>
      </c>
      <c r="E172" s="230">
        <f>'DIST-PRS'!E11</f>
        <v>3</v>
      </c>
      <c r="G172" s="230">
        <f>ROT!D12</f>
        <v>3</v>
      </c>
      <c r="I172" s="51">
        <f>(((C172/12)*365)*PERIODOS!$J$197)*(E172*G172)</f>
        <v>499.54</v>
      </c>
    </row>
    <row r="173" spans="1:10" x14ac:dyDescent="0.2">
      <c r="A173" s="14">
        <v>173</v>
      </c>
      <c r="E173" s="216">
        <f>SUM(E169:E172)</f>
        <v>50</v>
      </c>
      <c r="I173" s="53">
        <f>SUM(I169:I172)</f>
        <v>7076.8</v>
      </c>
    </row>
    <row r="174" spans="1:10" x14ac:dyDescent="0.2">
      <c r="A174" s="14">
        <v>174</v>
      </c>
    </row>
    <row r="175" spans="1:10" x14ac:dyDescent="0.2">
      <c r="A175" s="14">
        <v>175</v>
      </c>
      <c r="I175" s="279">
        <f>(I173/TDT)</f>
        <v>141.536</v>
      </c>
      <c r="J175" t="s">
        <v>637</v>
      </c>
    </row>
    <row r="176" spans="1:10" x14ac:dyDescent="0.2">
      <c r="A176" s="14">
        <v>176</v>
      </c>
    </row>
    <row r="177" spans="1:16" x14ac:dyDescent="0.2">
      <c r="A177" s="14">
        <v>177</v>
      </c>
    </row>
    <row r="178" spans="1:16" x14ac:dyDescent="0.2">
      <c r="A178" s="14">
        <v>178</v>
      </c>
      <c r="B178" s="418" t="s">
        <v>657</v>
      </c>
      <c r="C178" s="203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</row>
    <row r="179" spans="1:16" x14ac:dyDescent="0.2">
      <c r="A179" s="14">
        <v>179</v>
      </c>
    </row>
    <row r="180" spans="1:16" x14ac:dyDescent="0.2">
      <c r="A180" s="14">
        <v>180</v>
      </c>
      <c r="B180" t="s">
        <v>640</v>
      </c>
    </row>
    <row r="181" spans="1:16" x14ac:dyDescent="0.2">
      <c r="A181" s="14">
        <v>181</v>
      </c>
    </row>
    <row r="182" spans="1:16" x14ac:dyDescent="0.2">
      <c r="A182" s="14">
        <v>182</v>
      </c>
      <c r="H182" s="459" t="s">
        <v>498</v>
      </c>
    </row>
    <row r="183" spans="1:16" x14ac:dyDescent="0.2">
      <c r="A183" s="14">
        <v>183</v>
      </c>
      <c r="C183" s="368" t="s">
        <v>658</v>
      </c>
      <c r="G183" s="18" t="s">
        <v>642</v>
      </c>
      <c r="H183" s="292">
        <f>(BONOHIJOS/TDT)/SBP</f>
        <v>8.2000000000000007E-3</v>
      </c>
      <c r="I183" t="s">
        <v>56</v>
      </c>
    </row>
    <row r="184" spans="1:16" x14ac:dyDescent="0.2">
      <c r="A184" s="14">
        <v>184</v>
      </c>
    </row>
    <row r="185" spans="1:16" x14ac:dyDescent="0.2">
      <c r="A185" s="14">
        <v>185</v>
      </c>
      <c r="C185" s="368" t="s">
        <v>659</v>
      </c>
      <c r="G185" s="18" t="s">
        <v>644</v>
      </c>
      <c r="H185" s="292">
        <f>(BONOMATRI/TDT)/SBP</f>
        <v>6.6E-3</v>
      </c>
      <c r="I185" t="s">
        <v>56</v>
      </c>
    </row>
    <row r="186" spans="1:16" x14ac:dyDescent="0.2">
      <c r="A186" s="14">
        <v>186</v>
      </c>
    </row>
    <row r="187" spans="1:16" x14ac:dyDescent="0.2">
      <c r="A187" s="14">
        <v>187</v>
      </c>
      <c r="C187" s="368" t="s">
        <v>660</v>
      </c>
      <c r="G187" s="18" t="s">
        <v>646</v>
      </c>
      <c r="H187" s="292">
        <f>PUNTUAL</f>
        <v>58.14</v>
      </c>
      <c r="I187" t="s">
        <v>56</v>
      </c>
    </row>
    <row r="188" spans="1:16" x14ac:dyDescent="0.2">
      <c r="A188" s="14">
        <v>188</v>
      </c>
    </row>
    <row r="189" spans="1:16" x14ac:dyDescent="0.2">
      <c r="A189" s="14">
        <v>189</v>
      </c>
      <c r="C189" s="368" t="s">
        <v>645</v>
      </c>
      <c r="G189" s="18" t="s">
        <v>648</v>
      </c>
      <c r="H189" s="292">
        <f>TESPECIAL</f>
        <v>7.46E-2</v>
      </c>
      <c r="I189" t="s">
        <v>56</v>
      </c>
    </row>
    <row r="190" spans="1:16" x14ac:dyDescent="0.2">
      <c r="A190" s="14">
        <v>190</v>
      </c>
    </row>
    <row r="191" spans="1:16" x14ac:dyDescent="0.2">
      <c r="A191" s="14">
        <v>191</v>
      </c>
      <c r="C191" s="368" t="s">
        <v>661</v>
      </c>
      <c r="G191" s="18" t="s">
        <v>650</v>
      </c>
      <c r="H191" s="292">
        <f>JEXTRA</f>
        <v>16.399999999999999</v>
      </c>
      <c r="I191" t="s">
        <v>56</v>
      </c>
    </row>
    <row r="192" spans="1:16" x14ac:dyDescent="0.2">
      <c r="A192" s="14">
        <v>192</v>
      </c>
    </row>
    <row r="193" spans="1:9" x14ac:dyDescent="0.2">
      <c r="A193" s="14">
        <v>193</v>
      </c>
      <c r="C193" s="368" t="s">
        <v>662</v>
      </c>
      <c r="G193" s="171" t="s">
        <v>652</v>
      </c>
      <c r="H193" s="292">
        <f>BVACACION</f>
        <v>68.010000000000005</v>
      </c>
      <c r="I193" t="s">
        <v>56</v>
      </c>
    </row>
    <row r="194" spans="1:9" x14ac:dyDescent="0.2">
      <c r="A194" s="14">
        <v>194</v>
      </c>
    </row>
    <row r="195" spans="1:9" x14ac:dyDescent="0.2">
      <c r="A195" s="14">
        <v>195</v>
      </c>
      <c r="C195" s="368" t="s">
        <v>662</v>
      </c>
      <c r="G195" s="18" t="s">
        <v>654</v>
      </c>
      <c r="H195" s="292">
        <f>PERIODOS!F193</f>
        <v>100</v>
      </c>
      <c r="I195" t="s">
        <v>56</v>
      </c>
    </row>
    <row r="196" spans="1:9" x14ac:dyDescent="0.2">
      <c r="A196" s="14">
        <v>196</v>
      </c>
    </row>
    <row r="197" spans="1:9" x14ac:dyDescent="0.2">
      <c r="A197" s="14">
        <v>197</v>
      </c>
      <c r="H197" s="287" t="s">
        <v>655</v>
      </c>
    </row>
    <row r="198" spans="1:9" x14ac:dyDescent="0.2">
      <c r="A198" s="14">
        <v>198</v>
      </c>
      <c r="G198" s="18" t="s">
        <v>656</v>
      </c>
      <c r="H198" s="293">
        <f>(H183+H185+H187+H189+H191+H193+H195)/TDP</f>
        <v>0.66479999999999995</v>
      </c>
      <c r="I198" t="s">
        <v>56</v>
      </c>
    </row>
    <row r="199" spans="1:9" x14ac:dyDescent="0.2">
      <c r="A199" s="14">
        <v>199</v>
      </c>
    </row>
    <row r="200" spans="1:9" x14ac:dyDescent="0.2">
      <c r="A200" s="14">
        <v>200</v>
      </c>
      <c r="C200" s="457" t="s">
        <v>633</v>
      </c>
    </row>
    <row r="201" spans="1:9" x14ac:dyDescent="0.2">
      <c r="A201" s="14">
        <v>201</v>
      </c>
      <c r="C201" s="457" t="s">
        <v>634</v>
      </c>
      <c r="E201" s="14" t="s">
        <v>635</v>
      </c>
    </row>
    <row r="202" spans="1:9" x14ac:dyDescent="0.2">
      <c r="A202" s="14">
        <v>202</v>
      </c>
      <c r="C202" s="14" t="s">
        <v>54</v>
      </c>
      <c r="E202" s="14" t="s">
        <v>43</v>
      </c>
      <c r="G202" s="14" t="s">
        <v>636</v>
      </c>
      <c r="I202" s="14" t="s">
        <v>56</v>
      </c>
    </row>
    <row r="203" spans="1:9" x14ac:dyDescent="0.2">
      <c r="A203" s="14">
        <v>203</v>
      </c>
      <c r="C203" s="256">
        <f>ANTIG!I9</f>
        <v>12</v>
      </c>
      <c r="E203" s="230">
        <f>'DIST-PRS'!E8</f>
        <v>9</v>
      </c>
      <c r="G203" s="230">
        <f>ROT!D9</f>
        <v>1</v>
      </c>
      <c r="I203" s="51">
        <f>(((C203/12)*365)*PERIODOS!$J$197)*(E203*G203)</f>
        <v>1498.62</v>
      </c>
    </row>
    <row r="204" spans="1:9" x14ac:dyDescent="0.2">
      <c r="A204" s="14">
        <v>204</v>
      </c>
      <c r="C204" s="256">
        <f>ANTIG!I10</f>
        <v>9</v>
      </c>
      <c r="E204" s="230">
        <f>'DIST-PRS'!E9</f>
        <v>30</v>
      </c>
      <c r="G204" s="230">
        <f>ROT!D10</f>
        <v>1</v>
      </c>
      <c r="I204" s="51">
        <f>(((C204/12)*365)*PERIODOS!$J$197)*(E204*G204)</f>
        <v>3746.54</v>
      </c>
    </row>
    <row r="205" spans="1:9" x14ac:dyDescent="0.2">
      <c r="A205" s="14">
        <v>205</v>
      </c>
      <c r="C205" s="256">
        <f>ANTIG!I11</f>
        <v>6</v>
      </c>
      <c r="E205" s="230">
        <f>'DIST-PRS'!E10</f>
        <v>8</v>
      </c>
      <c r="G205" s="230">
        <f>ROT!D11</f>
        <v>2</v>
      </c>
      <c r="I205" s="51">
        <f>(((C205/12)*365)*PERIODOS!$J$197)*(E205*G205)</f>
        <v>1332.1</v>
      </c>
    </row>
    <row r="206" spans="1:9" x14ac:dyDescent="0.2">
      <c r="A206" s="14">
        <v>206</v>
      </c>
      <c r="C206" s="256">
        <f>ANTIG!I12</f>
        <v>4</v>
      </c>
      <c r="E206" s="230">
        <f>'DIST-PRS'!E11</f>
        <v>3</v>
      </c>
      <c r="G206" s="230">
        <f>ROT!D12</f>
        <v>3</v>
      </c>
      <c r="I206" s="51">
        <f>(((C206/12)*365)*PERIODOS!$J$197)*(E206*G206)</f>
        <v>499.54</v>
      </c>
    </row>
    <row r="207" spans="1:9" x14ac:dyDescent="0.2">
      <c r="A207" s="14">
        <v>207</v>
      </c>
      <c r="E207" s="216">
        <f>SUM(E203:E206)</f>
        <v>50</v>
      </c>
      <c r="I207" s="53">
        <f>SUM(I203:I206)</f>
        <v>7076.8</v>
      </c>
    </row>
    <row r="208" spans="1:9" x14ac:dyDescent="0.2">
      <c r="A208" s="14">
        <v>208</v>
      </c>
    </row>
    <row r="209" spans="1:16" x14ac:dyDescent="0.2">
      <c r="A209" s="14">
        <v>209</v>
      </c>
      <c r="I209" s="279">
        <f>(I207/TDT)</f>
        <v>141.536</v>
      </c>
      <c r="J209" t="s">
        <v>637</v>
      </c>
    </row>
    <row r="210" spans="1:16" x14ac:dyDescent="0.2">
      <c r="A210" s="14">
        <v>210</v>
      </c>
    </row>
    <row r="211" spans="1:16" x14ac:dyDescent="0.2">
      <c r="A211" s="14">
        <v>211</v>
      </c>
      <c r="B211" s="418" t="s">
        <v>663</v>
      </c>
      <c r="C211" s="203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</row>
    <row r="212" spans="1:16" x14ac:dyDescent="0.2">
      <c r="A212" s="14">
        <v>212</v>
      </c>
    </row>
    <row r="213" spans="1:16" x14ac:dyDescent="0.2">
      <c r="A213" s="14">
        <v>213</v>
      </c>
      <c r="B213" s="423" t="s">
        <v>664</v>
      </c>
      <c r="C213" s="424"/>
      <c r="D213" s="424"/>
      <c r="E213" s="424"/>
      <c r="F213" s="424"/>
      <c r="G213" s="424"/>
      <c r="H213" s="425"/>
      <c r="I213" s="426"/>
      <c r="J213" s="424"/>
      <c r="K213" s="427"/>
      <c r="L213" s="428"/>
    </row>
    <row r="214" spans="1:16" x14ac:dyDescent="0.2">
      <c r="A214" s="14">
        <v>214</v>
      </c>
      <c r="B214" s="429" t="s">
        <v>665</v>
      </c>
      <c r="C214" s="430"/>
      <c r="D214" s="430"/>
      <c r="E214" s="430"/>
      <c r="F214" s="430"/>
      <c r="G214" s="430"/>
      <c r="H214" s="431"/>
      <c r="I214" s="432"/>
      <c r="J214" s="430"/>
      <c r="K214" s="433"/>
      <c r="L214" s="434"/>
    </row>
    <row r="215" spans="1:16" ht="12" x14ac:dyDescent="0.2">
      <c r="A215" s="14">
        <v>215</v>
      </c>
      <c r="B215" s="435"/>
      <c r="C215" s="436"/>
      <c r="D215" s="436"/>
      <c r="E215" s="436"/>
      <c r="F215" s="430"/>
      <c r="G215" s="437"/>
      <c r="H215" s="438"/>
      <c r="I215" s="439"/>
      <c r="J215" s="440"/>
      <c r="K215" s="441"/>
      <c r="L215" s="442"/>
    </row>
    <row r="216" spans="1:16" ht="12" x14ac:dyDescent="0.2">
      <c r="A216" s="14">
        <v>216</v>
      </c>
      <c r="B216" s="443" t="s">
        <v>666</v>
      </c>
      <c r="C216" s="436"/>
      <c r="D216" s="436"/>
      <c r="E216" s="436"/>
      <c r="F216" s="430"/>
      <c r="G216" s="437"/>
      <c r="H216" s="438"/>
      <c r="I216" s="439"/>
      <c r="J216" s="440"/>
      <c r="K216" s="441"/>
      <c r="L216" s="442"/>
    </row>
    <row r="217" spans="1:16" ht="12" x14ac:dyDescent="0.2">
      <c r="A217" s="14">
        <v>217</v>
      </c>
      <c r="B217" s="435"/>
      <c r="C217" s="436"/>
      <c r="D217" s="436"/>
      <c r="E217" s="436"/>
      <c r="F217" s="430"/>
      <c r="G217" s="437"/>
      <c r="H217" s="438"/>
      <c r="I217" s="439"/>
      <c r="J217" s="440"/>
      <c r="K217" s="441"/>
      <c r="L217" s="442"/>
    </row>
    <row r="218" spans="1:16" x14ac:dyDescent="0.2">
      <c r="A218" s="14">
        <v>218</v>
      </c>
      <c r="B218" s="436"/>
      <c r="C218" s="436"/>
      <c r="D218" s="440"/>
      <c r="E218" s="444" t="s">
        <v>667</v>
      </c>
      <c r="F218" s="445">
        <v>1</v>
      </c>
      <c r="G218" s="446">
        <v>0</v>
      </c>
      <c r="H218" s="447" t="s">
        <v>668</v>
      </c>
      <c r="I218" s="767" t="s">
        <v>669</v>
      </c>
      <c r="J218" s="767"/>
      <c r="K218" s="767"/>
      <c r="L218" s="442"/>
    </row>
    <row r="219" spans="1:16" x14ac:dyDescent="0.2">
      <c r="A219" s="14">
        <v>219</v>
      </c>
      <c r="B219" s="436"/>
      <c r="C219" s="436"/>
      <c r="D219" s="440"/>
      <c r="E219" s="448" t="s">
        <v>670</v>
      </c>
      <c r="F219" s="449">
        <v>2</v>
      </c>
      <c r="G219" s="450">
        <v>0</v>
      </c>
      <c r="H219" s="447" t="s">
        <v>668</v>
      </c>
      <c r="I219" s="440"/>
      <c r="J219" s="440"/>
      <c r="K219" s="441"/>
      <c r="L219" s="442"/>
    </row>
    <row r="220" spans="1:16" x14ac:dyDescent="0.2">
      <c r="A220" s="14">
        <v>220</v>
      </c>
      <c r="B220" s="436"/>
      <c r="C220" s="436"/>
      <c r="D220" s="440"/>
      <c r="E220" s="448" t="s">
        <v>671</v>
      </c>
      <c r="F220" s="449">
        <v>3</v>
      </c>
      <c r="G220" s="450">
        <v>0</v>
      </c>
      <c r="H220" s="447" t="s">
        <v>668</v>
      </c>
      <c r="I220" s="439"/>
      <c r="J220" s="440"/>
      <c r="K220" s="441"/>
      <c r="L220" s="442"/>
    </row>
    <row r="221" spans="1:16" x14ac:dyDescent="0.2">
      <c r="A221" s="14">
        <v>221</v>
      </c>
      <c r="B221" s="440"/>
      <c r="C221" s="440"/>
      <c r="D221" s="440"/>
      <c r="E221" s="448" t="s">
        <v>672</v>
      </c>
      <c r="F221" s="449">
        <v>4</v>
      </c>
      <c r="G221" s="450">
        <v>0</v>
      </c>
      <c r="H221" s="447" t="s">
        <v>668</v>
      </c>
      <c r="I221" s="440"/>
      <c r="J221" s="440"/>
      <c r="K221" s="462" t="s">
        <v>673</v>
      </c>
      <c r="L221" s="440"/>
    </row>
    <row r="222" spans="1:16" x14ac:dyDescent="0.2">
      <c r="A222" s="14">
        <v>222</v>
      </c>
      <c r="B222" s="440"/>
      <c r="C222" s="440"/>
      <c r="D222" s="440"/>
      <c r="E222" s="448" t="s">
        <v>674</v>
      </c>
      <c r="F222" s="449">
        <v>5</v>
      </c>
      <c r="G222" s="450">
        <v>0</v>
      </c>
      <c r="H222" s="447" t="s">
        <v>668</v>
      </c>
      <c r="I222" s="440"/>
      <c r="J222" s="440"/>
      <c r="K222" s="440"/>
      <c r="L222" s="440"/>
    </row>
    <row r="223" spans="1:16" x14ac:dyDescent="0.2">
      <c r="A223" s="14">
        <v>223</v>
      </c>
      <c r="B223" s="440"/>
      <c r="C223" s="440"/>
      <c r="D223" s="440"/>
      <c r="E223" s="448" t="s">
        <v>675</v>
      </c>
      <c r="F223" s="449">
        <v>6</v>
      </c>
      <c r="G223" s="450">
        <v>0</v>
      </c>
      <c r="H223" s="447" t="s">
        <v>668</v>
      </c>
      <c r="I223" s="440"/>
      <c r="J223" s="440"/>
      <c r="K223" s="440"/>
      <c r="L223" s="440"/>
    </row>
    <row r="224" spans="1:16" x14ac:dyDescent="0.2">
      <c r="A224" s="14">
        <v>224</v>
      </c>
      <c r="B224" s="440"/>
      <c r="C224" s="440"/>
      <c r="D224" s="440"/>
      <c r="E224" s="448" t="s">
        <v>676</v>
      </c>
      <c r="F224" s="451">
        <v>7</v>
      </c>
      <c r="G224" s="452">
        <v>0</v>
      </c>
      <c r="H224" s="447" t="s">
        <v>668</v>
      </c>
      <c r="I224" s="440"/>
      <c r="J224" s="440"/>
      <c r="K224" s="440"/>
      <c r="L224" s="440"/>
    </row>
    <row r="225" spans="1:12" x14ac:dyDescent="0.2">
      <c r="A225" s="14">
        <v>225</v>
      </c>
      <c r="B225" s="440"/>
      <c r="C225" s="440"/>
      <c r="D225" s="440"/>
      <c r="E225" s="448" t="s">
        <v>677</v>
      </c>
      <c r="F225" s="451">
        <v>8</v>
      </c>
      <c r="G225" s="452">
        <v>0</v>
      </c>
      <c r="H225" s="447" t="s">
        <v>668</v>
      </c>
      <c r="I225" s="440"/>
      <c r="J225" s="440"/>
      <c r="K225" s="440"/>
      <c r="L225" s="440"/>
    </row>
    <row r="226" spans="1:12" x14ac:dyDescent="0.2">
      <c r="A226" s="14">
        <v>226</v>
      </c>
      <c r="B226" s="440"/>
      <c r="C226" s="440"/>
      <c r="D226" s="440"/>
      <c r="E226" s="448" t="s">
        <v>678</v>
      </c>
      <c r="F226" s="451">
        <v>9</v>
      </c>
      <c r="G226" s="452">
        <v>0</v>
      </c>
      <c r="H226" s="447" t="s">
        <v>668</v>
      </c>
      <c r="I226" s="440"/>
      <c r="J226" s="440"/>
      <c r="K226" s="440"/>
      <c r="L226" s="440"/>
    </row>
    <row r="227" spans="1:12" x14ac:dyDescent="0.2">
      <c r="A227" s="14">
        <v>227</v>
      </c>
      <c r="B227" s="440"/>
      <c r="C227" s="440"/>
      <c r="D227" s="440"/>
      <c r="E227" s="448" t="s">
        <v>679</v>
      </c>
      <c r="F227" s="451">
        <v>10</v>
      </c>
      <c r="G227" s="452">
        <v>0</v>
      </c>
      <c r="H227" s="447" t="s">
        <v>668</v>
      </c>
      <c r="I227" s="440"/>
      <c r="J227" s="440"/>
      <c r="K227" s="440"/>
      <c r="L227" s="440"/>
    </row>
    <row r="228" spans="1:12" x14ac:dyDescent="0.2">
      <c r="A228" s="14">
        <v>228</v>
      </c>
      <c r="B228" s="440"/>
      <c r="C228" s="440"/>
      <c r="D228" s="440"/>
      <c r="E228" s="448" t="s">
        <v>680</v>
      </c>
      <c r="F228" s="451">
        <v>11</v>
      </c>
      <c r="G228" s="452">
        <v>0</v>
      </c>
      <c r="H228" s="447" t="s">
        <v>668</v>
      </c>
      <c r="I228" s="440"/>
      <c r="J228" s="440"/>
      <c r="K228" s="440"/>
      <c r="L228" s="440"/>
    </row>
    <row r="229" spans="1:12" x14ac:dyDescent="0.2">
      <c r="A229" s="14">
        <v>229</v>
      </c>
      <c r="B229" s="440"/>
      <c r="C229" s="440"/>
      <c r="D229" s="440"/>
      <c r="E229" s="448" t="s">
        <v>681</v>
      </c>
      <c r="F229" s="451">
        <v>12</v>
      </c>
      <c r="G229" s="452">
        <v>0</v>
      </c>
      <c r="H229" s="447" t="s">
        <v>668</v>
      </c>
      <c r="I229" s="440"/>
      <c r="J229" s="440"/>
      <c r="K229" s="440"/>
      <c r="L229" s="440"/>
    </row>
    <row r="230" spans="1:12" x14ac:dyDescent="0.2">
      <c r="A230" s="14">
        <v>230</v>
      </c>
      <c r="B230" s="440"/>
      <c r="C230" s="440"/>
      <c r="D230" s="440"/>
      <c r="E230" s="440"/>
      <c r="F230" s="440"/>
      <c r="G230" s="440"/>
      <c r="H230" s="440"/>
      <c r="I230" s="440"/>
      <c r="J230" s="440"/>
      <c r="K230" s="440"/>
      <c r="L230" s="440"/>
    </row>
    <row r="231" spans="1:12" x14ac:dyDescent="0.2">
      <c r="A231" s="14">
        <v>231</v>
      </c>
      <c r="B231" s="341" t="s">
        <v>682</v>
      </c>
      <c r="C231" s="342"/>
      <c r="D231" s="342"/>
      <c r="E231" s="342"/>
      <c r="F231" s="342"/>
      <c r="G231" s="342"/>
      <c r="H231" s="343"/>
      <c r="I231" s="344"/>
      <c r="J231" s="345"/>
      <c r="K231" s="346"/>
      <c r="L231" s="344"/>
    </row>
    <row r="232" spans="1:12" x14ac:dyDescent="0.2">
      <c r="A232" s="14">
        <v>232</v>
      </c>
      <c r="B232" s="301" t="s">
        <v>683</v>
      </c>
      <c r="C232" s="294"/>
      <c r="D232" s="294"/>
      <c r="E232" s="294"/>
      <c r="F232" s="294"/>
      <c r="G232" s="294"/>
      <c r="H232" s="295"/>
      <c r="I232" s="302"/>
      <c r="J232" s="303"/>
      <c r="K232" s="304"/>
      <c r="L232" s="302"/>
    </row>
    <row r="233" spans="1:12" x14ac:dyDescent="0.2">
      <c r="A233" s="14">
        <v>233</v>
      </c>
      <c r="B233" s="160"/>
      <c r="C233" s="305"/>
      <c r="D233" s="306"/>
      <c r="E233" s="307"/>
      <c r="G233" s="308"/>
      <c r="H233" s="309"/>
      <c r="L233" s="299"/>
    </row>
    <row r="234" spans="1:12" x14ac:dyDescent="0.2">
      <c r="A234" s="14">
        <v>234</v>
      </c>
      <c r="B234" s="160"/>
      <c r="C234" s="305"/>
      <c r="D234" s="306"/>
      <c r="E234" s="307"/>
      <c r="G234" s="308"/>
      <c r="H234" s="309"/>
      <c r="I234" s="768" t="s">
        <v>684</v>
      </c>
      <c r="J234" s="768"/>
      <c r="K234" s="768"/>
      <c r="L234" s="299"/>
    </row>
    <row r="235" spans="1:12" x14ac:dyDescent="0.2">
      <c r="A235" s="14">
        <v>235</v>
      </c>
      <c r="B235" s="160"/>
      <c r="C235" s="305"/>
      <c r="D235" s="306"/>
      <c r="E235" s="300" t="s">
        <v>685</v>
      </c>
      <c r="F235" s="13">
        <v>1</v>
      </c>
      <c r="G235" s="310">
        <v>6</v>
      </c>
      <c r="H235" s="178" t="s">
        <v>56</v>
      </c>
      <c r="L235" s="299"/>
    </row>
    <row r="236" spans="1:12" x14ac:dyDescent="0.2">
      <c r="A236" s="14">
        <v>236</v>
      </c>
      <c r="B236" s="160"/>
      <c r="C236" s="305"/>
      <c r="D236" s="306"/>
      <c r="E236" s="300" t="s">
        <v>686</v>
      </c>
      <c r="F236" s="13">
        <v>2</v>
      </c>
      <c r="G236" s="310">
        <v>12</v>
      </c>
      <c r="H236" s="178" t="s">
        <v>56</v>
      </c>
      <c r="L236" s="299"/>
    </row>
    <row r="237" spans="1:12" x14ac:dyDescent="0.2">
      <c r="A237" s="14">
        <v>237</v>
      </c>
      <c r="B237" s="160"/>
      <c r="C237" s="305"/>
      <c r="D237" s="306"/>
      <c r="E237" s="300" t="s">
        <v>687</v>
      </c>
      <c r="F237" s="13">
        <v>3</v>
      </c>
      <c r="G237" s="310">
        <v>18</v>
      </c>
      <c r="H237" s="178" t="s">
        <v>56</v>
      </c>
      <c r="L237" s="299"/>
    </row>
    <row r="238" spans="1:12" x14ac:dyDescent="0.2">
      <c r="A238" s="14">
        <v>238</v>
      </c>
      <c r="B238" s="160"/>
      <c r="C238" s="305"/>
      <c r="D238" s="306"/>
      <c r="E238" s="300" t="s">
        <v>688</v>
      </c>
      <c r="F238" s="13">
        <v>4</v>
      </c>
      <c r="G238" s="310">
        <v>24</v>
      </c>
      <c r="H238" s="178" t="s">
        <v>56</v>
      </c>
      <c r="L238" s="299"/>
    </row>
    <row r="239" spans="1:12" x14ac:dyDescent="0.2">
      <c r="A239" s="14">
        <v>239</v>
      </c>
      <c r="B239" s="160"/>
      <c r="C239" s="305"/>
      <c r="D239" s="306"/>
      <c r="E239" s="300" t="s">
        <v>689</v>
      </c>
      <c r="F239" s="13">
        <v>5</v>
      </c>
      <c r="G239" s="310">
        <v>30</v>
      </c>
      <c r="H239" s="178" t="s">
        <v>56</v>
      </c>
      <c r="L239" s="299"/>
    </row>
    <row r="240" spans="1:12" x14ac:dyDescent="0.2">
      <c r="A240" s="14">
        <v>240</v>
      </c>
      <c r="B240" s="160"/>
      <c r="C240" s="305"/>
      <c r="D240" s="306"/>
      <c r="E240" s="300" t="s">
        <v>690</v>
      </c>
      <c r="F240" s="322">
        <v>6</v>
      </c>
      <c r="G240" s="323">
        <v>54</v>
      </c>
      <c r="H240" s="178" t="s">
        <v>56</v>
      </c>
      <c r="L240" s="299"/>
    </row>
    <row r="241" spans="1:12" x14ac:dyDescent="0.2">
      <c r="A241" s="14">
        <v>241</v>
      </c>
      <c r="B241" s="160"/>
      <c r="C241" s="305"/>
      <c r="D241" s="306"/>
      <c r="E241" s="300" t="s">
        <v>691</v>
      </c>
      <c r="F241" s="322">
        <v>7</v>
      </c>
      <c r="G241" s="323">
        <v>54</v>
      </c>
      <c r="H241" s="178" t="s">
        <v>56</v>
      </c>
      <c r="K241" s="462" t="s">
        <v>673</v>
      </c>
      <c r="L241" s="299"/>
    </row>
    <row r="242" spans="1:12" x14ac:dyDescent="0.2">
      <c r="A242" s="14">
        <v>242</v>
      </c>
      <c r="B242" s="160"/>
      <c r="C242" s="305"/>
      <c r="D242" s="306"/>
      <c r="E242" s="300" t="s">
        <v>692</v>
      </c>
      <c r="F242" s="322">
        <v>8</v>
      </c>
      <c r="G242" s="323">
        <v>54</v>
      </c>
      <c r="H242" s="178" t="s">
        <v>56</v>
      </c>
      <c r="L242" s="299"/>
    </row>
    <row r="243" spans="1:12" x14ac:dyDescent="0.2">
      <c r="A243" s="14">
        <v>243</v>
      </c>
      <c r="B243" s="160"/>
      <c r="C243" s="305"/>
      <c r="D243" s="306"/>
      <c r="E243" s="300" t="s">
        <v>693</v>
      </c>
      <c r="F243" s="322">
        <v>9</v>
      </c>
      <c r="G243" s="323">
        <v>54</v>
      </c>
      <c r="H243" s="178" t="s">
        <v>56</v>
      </c>
      <c r="L243" s="299"/>
    </row>
    <row r="244" spans="1:12" x14ac:dyDescent="0.2">
      <c r="A244" s="14">
        <v>244</v>
      </c>
      <c r="B244" s="160"/>
      <c r="C244" s="305"/>
      <c r="D244" s="306"/>
      <c r="E244" s="300" t="s">
        <v>694</v>
      </c>
      <c r="F244" s="324">
        <v>10</v>
      </c>
      <c r="G244" s="325">
        <v>60</v>
      </c>
      <c r="H244" s="178" t="s">
        <v>56</v>
      </c>
      <c r="L244" s="299"/>
    </row>
    <row r="245" spans="1:12" x14ac:dyDescent="0.2">
      <c r="A245" s="14">
        <v>245</v>
      </c>
      <c r="B245" s="160"/>
      <c r="C245" s="305"/>
      <c r="D245" s="306"/>
      <c r="E245" s="300" t="s">
        <v>695</v>
      </c>
      <c r="F245" s="326">
        <v>11</v>
      </c>
      <c r="G245" s="327">
        <v>66</v>
      </c>
      <c r="H245" s="178" t="s">
        <v>56</v>
      </c>
      <c r="L245" s="299"/>
    </row>
    <row r="246" spans="1:12" x14ac:dyDescent="0.2">
      <c r="A246" s="14">
        <v>246</v>
      </c>
      <c r="B246" s="160"/>
      <c r="C246" s="305"/>
      <c r="D246" s="306"/>
      <c r="E246" s="300" t="s">
        <v>696</v>
      </c>
      <c r="F246" s="328">
        <v>12</v>
      </c>
      <c r="G246" s="329">
        <v>72</v>
      </c>
      <c r="H246" s="178" t="s">
        <v>56</v>
      </c>
      <c r="L246" s="299"/>
    </row>
    <row r="247" spans="1:12" x14ac:dyDescent="0.2">
      <c r="A247" s="14">
        <v>247</v>
      </c>
    </row>
    <row r="248" spans="1:12" x14ac:dyDescent="0.2">
      <c r="A248" s="14">
        <v>248</v>
      </c>
      <c r="B248" s="341" t="s">
        <v>697</v>
      </c>
      <c r="C248" s="342"/>
      <c r="D248" s="342"/>
      <c r="E248" s="342"/>
      <c r="F248" s="342"/>
      <c r="G248" s="342"/>
      <c r="H248" s="343"/>
      <c r="I248" s="344"/>
      <c r="J248" s="345"/>
      <c r="K248" s="346"/>
      <c r="L248" s="344"/>
    </row>
    <row r="249" spans="1:12" x14ac:dyDescent="0.2">
      <c r="A249" s="14">
        <v>249</v>
      </c>
      <c r="B249" s="301" t="s">
        <v>698</v>
      </c>
      <c r="C249" s="294"/>
      <c r="D249" s="294"/>
      <c r="E249" s="294"/>
      <c r="F249" s="294"/>
      <c r="G249" s="294"/>
      <c r="H249" s="295"/>
      <c r="I249" s="302"/>
      <c r="J249" s="303"/>
      <c r="K249" s="304"/>
      <c r="L249" s="302"/>
    </row>
    <row r="250" spans="1:12" x14ac:dyDescent="0.2">
      <c r="A250" s="14">
        <v>250</v>
      </c>
      <c r="B250" s="311"/>
      <c r="C250" s="296"/>
      <c r="D250" s="296"/>
      <c r="E250" s="296"/>
      <c r="F250" s="296"/>
      <c r="G250" s="296"/>
      <c r="H250" s="312"/>
      <c r="I250" s="84"/>
      <c r="K250" s="298"/>
      <c r="L250" s="299"/>
    </row>
    <row r="251" spans="1:12" x14ac:dyDescent="0.2">
      <c r="A251" s="14">
        <v>251</v>
      </c>
      <c r="B251" s="311"/>
      <c r="C251" s="296"/>
      <c r="D251" s="306"/>
      <c r="E251" s="300" t="s">
        <v>685</v>
      </c>
      <c r="F251" s="324">
        <v>1</v>
      </c>
      <c r="G251" s="325">
        <v>6</v>
      </c>
      <c r="H251" s="178" t="s">
        <v>56</v>
      </c>
      <c r="K251" s="298"/>
      <c r="L251" s="299"/>
    </row>
    <row r="252" spans="1:12" x14ac:dyDescent="0.2">
      <c r="A252" s="14">
        <v>252</v>
      </c>
      <c r="B252" s="311"/>
      <c r="C252" s="296"/>
      <c r="D252" s="306"/>
      <c r="E252" s="300" t="s">
        <v>686</v>
      </c>
      <c r="F252" s="324">
        <v>2</v>
      </c>
      <c r="G252" s="325">
        <v>12</v>
      </c>
      <c r="H252" s="178" t="s">
        <v>56</v>
      </c>
      <c r="K252" s="298"/>
      <c r="L252" s="299"/>
    </row>
    <row r="253" spans="1:12" x14ac:dyDescent="0.2">
      <c r="A253" s="14">
        <v>253</v>
      </c>
      <c r="B253" s="311"/>
      <c r="C253" s="296"/>
      <c r="D253" s="306"/>
      <c r="E253" s="300" t="s">
        <v>687</v>
      </c>
      <c r="F253" s="326">
        <v>3</v>
      </c>
      <c r="G253" s="327">
        <v>18</v>
      </c>
      <c r="H253" s="178" t="s">
        <v>56</v>
      </c>
      <c r="K253" s="298"/>
      <c r="L253" s="299"/>
    </row>
    <row r="254" spans="1:12" x14ac:dyDescent="0.2">
      <c r="A254" s="14">
        <v>254</v>
      </c>
      <c r="B254" s="311"/>
      <c r="C254" s="296"/>
      <c r="D254" s="306"/>
      <c r="E254" s="300" t="s">
        <v>688</v>
      </c>
      <c r="F254" s="326">
        <v>4</v>
      </c>
      <c r="G254" s="327">
        <v>24</v>
      </c>
      <c r="H254" s="178" t="s">
        <v>56</v>
      </c>
      <c r="K254" s="298"/>
      <c r="L254" s="299"/>
    </row>
    <row r="255" spans="1:12" x14ac:dyDescent="0.2">
      <c r="A255" s="14">
        <v>255</v>
      </c>
      <c r="B255" s="311"/>
      <c r="C255" s="296"/>
      <c r="D255" s="306"/>
      <c r="E255" s="300" t="s">
        <v>689</v>
      </c>
      <c r="F255" s="326">
        <v>5</v>
      </c>
      <c r="G255" s="327">
        <v>30</v>
      </c>
      <c r="H255" s="178" t="s">
        <v>56</v>
      </c>
      <c r="K255" s="298"/>
      <c r="L255" s="299"/>
    </row>
    <row r="256" spans="1:12" x14ac:dyDescent="0.2">
      <c r="A256" s="14">
        <v>256</v>
      </c>
      <c r="B256" s="311"/>
      <c r="C256" s="296"/>
      <c r="D256" s="306"/>
      <c r="E256" s="300" t="s">
        <v>690</v>
      </c>
      <c r="F256" s="326">
        <v>6</v>
      </c>
      <c r="G256" s="327">
        <v>54</v>
      </c>
      <c r="H256" s="178" t="s">
        <v>56</v>
      </c>
      <c r="I256" s="460"/>
      <c r="K256" s="462" t="s">
        <v>673</v>
      </c>
      <c r="L256" s="299"/>
    </row>
    <row r="257" spans="1:12" x14ac:dyDescent="0.2">
      <c r="A257" s="14">
        <v>257</v>
      </c>
      <c r="B257" s="311"/>
      <c r="C257" s="296"/>
      <c r="D257" s="306"/>
      <c r="E257" s="300" t="s">
        <v>691</v>
      </c>
      <c r="F257" s="330">
        <v>7</v>
      </c>
      <c r="G257" s="331">
        <v>54</v>
      </c>
      <c r="H257" s="178" t="s">
        <v>56</v>
      </c>
      <c r="K257" s="298"/>
      <c r="L257" s="299"/>
    </row>
    <row r="258" spans="1:12" x14ac:dyDescent="0.2">
      <c r="A258" s="14">
        <v>258</v>
      </c>
      <c r="B258" s="311"/>
      <c r="C258" s="296"/>
      <c r="D258" s="306"/>
      <c r="E258" s="300" t="s">
        <v>692</v>
      </c>
      <c r="F258" s="330">
        <v>8</v>
      </c>
      <c r="G258" s="331">
        <v>54</v>
      </c>
      <c r="H258" s="178" t="s">
        <v>56</v>
      </c>
      <c r="K258" s="298"/>
      <c r="L258" s="299"/>
    </row>
    <row r="259" spans="1:12" x14ac:dyDescent="0.2">
      <c r="A259" s="14">
        <v>259</v>
      </c>
      <c r="B259" s="311"/>
      <c r="C259" s="296"/>
      <c r="D259" s="306"/>
      <c r="E259" s="300" t="s">
        <v>693</v>
      </c>
      <c r="F259" s="330">
        <v>9</v>
      </c>
      <c r="G259" s="331">
        <v>54</v>
      </c>
      <c r="H259" s="178" t="s">
        <v>56</v>
      </c>
      <c r="K259" s="298"/>
      <c r="L259" s="299"/>
    </row>
    <row r="260" spans="1:12" x14ac:dyDescent="0.2">
      <c r="A260" s="14">
        <v>260</v>
      </c>
      <c r="B260" s="311"/>
      <c r="C260" s="296"/>
      <c r="D260" s="306"/>
      <c r="E260" s="300" t="s">
        <v>694</v>
      </c>
      <c r="F260" s="330">
        <v>10</v>
      </c>
      <c r="G260" s="331">
        <v>60</v>
      </c>
      <c r="H260" s="178" t="s">
        <v>56</v>
      </c>
      <c r="K260" s="298"/>
      <c r="L260" s="299"/>
    </row>
    <row r="261" spans="1:12" x14ac:dyDescent="0.2">
      <c r="A261" s="14">
        <v>261</v>
      </c>
      <c r="B261" s="311"/>
      <c r="C261" s="296"/>
      <c r="D261" s="306"/>
      <c r="E261" s="300" t="s">
        <v>695</v>
      </c>
      <c r="F261" s="330">
        <v>11</v>
      </c>
      <c r="G261" s="331">
        <v>66</v>
      </c>
      <c r="H261" s="178" t="s">
        <v>56</v>
      </c>
      <c r="K261" s="298"/>
      <c r="L261" s="299"/>
    </row>
    <row r="262" spans="1:12" x14ac:dyDescent="0.2">
      <c r="A262" s="14">
        <v>262</v>
      </c>
      <c r="B262" s="311"/>
      <c r="C262" s="296"/>
      <c r="D262" s="306"/>
      <c r="E262" s="300" t="s">
        <v>696</v>
      </c>
      <c r="F262" s="330">
        <v>12</v>
      </c>
      <c r="G262" s="331">
        <v>72</v>
      </c>
      <c r="H262" s="178" t="s">
        <v>56</v>
      </c>
      <c r="K262" s="298"/>
      <c r="L262" s="299"/>
    </row>
    <row r="263" spans="1:12" x14ac:dyDescent="0.2">
      <c r="A263" s="14">
        <v>263</v>
      </c>
    </row>
    <row r="264" spans="1:12" x14ac:dyDescent="0.2">
      <c r="A264" s="14">
        <v>264</v>
      </c>
      <c r="B264" s="227" t="s">
        <v>633</v>
      </c>
    </row>
    <row r="265" spans="1:12" x14ac:dyDescent="0.2">
      <c r="A265" s="14">
        <v>265</v>
      </c>
      <c r="B265" s="227" t="s">
        <v>634</v>
      </c>
      <c r="D265" s="14" t="s">
        <v>635</v>
      </c>
      <c r="H265" s="313" t="s">
        <v>699</v>
      </c>
      <c r="I265" s="314" t="s">
        <v>700</v>
      </c>
      <c r="J265" s="315" t="s">
        <v>701</v>
      </c>
      <c r="K265" s="316" t="s">
        <v>36</v>
      </c>
    </row>
    <row r="266" spans="1:12" x14ac:dyDescent="0.2">
      <c r="A266" s="14">
        <v>266</v>
      </c>
      <c r="B266" s="14" t="s">
        <v>54</v>
      </c>
      <c r="D266" s="14" t="s">
        <v>43</v>
      </c>
      <c r="F266" s="14" t="s">
        <v>636</v>
      </c>
      <c r="H266" s="422" t="s">
        <v>702</v>
      </c>
      <c r="I266" s="317" t="s">
        <v>703</v>
      </c>
      <c r="J266" s="318" t="s">
        <v>704</v>
      </c>
      <c r="K266" s="319" t="s">
        <v>56</v>
      </c>
    </row>
    <row r="267" spans="1:12" x14ac:dyDescent="0.2">
      <c r="A267" s="14">
        <v>267</v>
      </c>
      <c r="B267" s="256">
        <f>ANTIG!I9</f>
        <v>12</v>
      </c>
      <c r="D267" s="230">
        <f>'DIST-PRS'!E8</f>
        <v>9</v>
      </c>
      <c r="F267" s="230">
        <f>ROT!D9</f>
        <v>1</v>
      </c>
      <c r="H267" s="230">
        <f>CHOOSE(B267,$G$218,$G$219,$G$220,$G$221,$G$222,$G$223,$G$224,$G$225,$G$226,$G$227,$G$228,$G$229)</f>
        <v>0</v>
      </c>
      <c r="I267" s="13">
        <f>CHOOSE(B267,$G$235,$G$236,$G$237,$G$238,$G$239,$G$240,$G$241,$G$242,$G$243,$G$244,$G$245,$G$246)</f>
        <v>72</v>
      </c>
      <c r="J267" s="13">
        <f>IF(OR(FCAS!$H$170=1,FCAS!$H$170=TRUE),CHOOSE(B267,$G$251,$G$252,$G$253,$G$254,$G$255,$G$256,$G$257,$G$258,$G$259,$G$260,$G$261,$G$262),0)</f>
        <v>0</v>
      </c>
      <c r="K267" s="230">
        <f>(H267+I267+J267)*(D267*F267)</f>
        <v>648</v>
      </c>
    </row>
    <row r="268" spans="1:12" x14ac:dyDescent="0.2">
      <c r="A268" s="14">
        <v>268</v>
      </c>
      <c r="B268" s="228">
        <f>ANTIG!I10</f>
        <v>9</v>
      </c>
      <c r="D268" s="230">
        <f>'DIST-PRS'!E9</f>
        <v>30</v>
      </c>
      <c r="F268" s="230">
        <f>ROT!D10</f>
        <v>1</v>
      </c>
      <c r="H268" s="230">
        <f>CHOOSE(B268,$G$218,$G$219,$G$220,$G$221,$G$222,$G$223,$G$224,$G$225,$G$226,$G$227,$G$228,$G$229)</f>
        <v>0</v>
      </c>
      <c r="I268" s="13">
        <f>CHOOSE(B268,$G$235,$G$236,$G$237,$G$238,$G$239,$G$240,$G$241,$G$242,$G$243,$G$244,$G$245,$G$246)</f>
        <v>54</v>
      </c>
      <c r="J268" s="13">
        <f>IF(OR(FCAS!$H$170=1,FCAS!$H$170=TRUE),CHOOSE(B268,$G$251,$G$252,$G$253,$G$254,$G$255,$G$256,$G$257,$G$258,$G$259,$G$260,$G$261,$G$262),0)</f>
        <v>0</v>
      </c>
      <c r="K268" s="230">
        <f>(H268+I268+J268)*(D268*F268)</f>
        <v>1620</v>
      </c>
    </row>
    <row r="269" spans="1:12" x14ac:dyDescent="0.2">
      <c r="A269" s="14">
        <v>269</v>
      </c>
      <c r="B269" s="228">
        <f>ANTIG!I11</f>
        <v>6</v>
      </c>
      <c r="D269" s="230">
        <f>'DIST-PRS'!E10</f>
        <v>8</v>
      </c>
      <c r="F269" s="230">
        <f>ROT!D11</f>
        <v>2</v>
      </c>
      <c r="H269" s="230">
        <f>CHOOSE(B269,$G$218,$G$219,$G$220,$G$221,$G$222,$G$223,$G$224,$G$225,$G$226,$G$227,$G$228,$G$229)</f>
        <v>0</v>
      </c>
      <c r="I269" s="13">
        <f>CHOOSE(B269,$G$235,$G$236,$G$237,$G$238,$G$239,$G$240,$G$241,$G$242,$G$243,$G$244,$G$245,$G$246)</f>
        <v>54</v>
      </c>
      <c r="J269" s="13">
        <f>IF(OR(FCAS!$H$170=1,FCAS!$H$170=TRUE),CHOOSE(B269,$G$251,$G$252,$G$253,$G$254,$G$255,$G$256,$G$257,$G$258,$G$259,$G$260,$G$261,$G$262),0)</f>
        <v>0</v>
      </c>
      <c r="K269" s="230">
        <f>(H269+I269+J269)*(D269*F269)</f>
        <v>864</v>
      </c>
    </row>
    <row r="270" spans="1:12" x14ac:dyDescent="0.2">
      <c r="A270" s="14">
        <v>270</v>
      </c>
      <c r="B270" s="228">
        <f>ANTIG!I12</f>
        <v>4</v>
      </c>
      <c r="D270" s="230">
        <f>'DIST-PRS'!E11</f>
        <v>3</v>
      </c>
      <c r="F270" s="230">
        <f>ROT!D12</f>
        <v>3</v>
      </c>
      <c r="H270" s="230">
        <f>CHOOSE(B270,$G$218,$G$219,$G$220,$G$221,$G$222,$G$223,$G$224,$G$225,$G$226,$G$227,$G$228,$G$229)</f>
        <v>0</v>
      </c>
      <c r="I270" s="13">
        <f>CHOOSE(B270,$G$235,$G$236,$G$237,$G$238,$G$239,$G$240,$G$241,$G$242,$G$243,$G$244,$G$245,$G$246)</f>
        <v>24</v>
      </c>
      <c r="J270" s="13">
        <f>IF(OR(FCAS!$H$170=1,FCAS!$H$170=TRUE),CHOOSE(B270,$G$251,$G$252,$G$253,$G$254,$G$255,$G$256,$G$257,$G$258,$G$259,$G$260,$G$261,$G$262),0)</f>
        <v>0</v>
      </c>
      <c r="K270" s="230">
        <f>(H270+I270+J270)*(D270*F270)</f>
        <v>216</v>
      </c>
    </row>
    <row r="271" spans="1:12" x14ac:dyDescent="0.2">
      <c r="A271" s="14">
        <v>271</v>
      </c>
      <c r="D271" s="216">
        <f>SUM(D267:D270)</f>
        <v>50</v>
      </c>
      <c r="H271" s="332"/>
      <c r="I271" s="84"/>
      <c r="J271" s="18" t="s">
        <v>560</v>
      </c>
      <c r="K271" s="216">
        <f>SUM(K267:K270)</f>
        <v>3348</v>
      </c>
    </row>
    <row r="272" spans="1:12" x14ac:dyDescent="0.2">
      <c r="A272" s="14">
        <v>272</v>
      </c>
      <c r="H272" s="84"/>
      <c r="I272" s="84"/>
    </row>
    <row r="273" spans="1:16" x14ac:dyDescent="0.2">
      <c r="A273" s="14">
        <v>273</v>
      </c>
      <c r="D273" s="287" t="s">
        <v>655</v>
      </c>
      <c r="H273" s="333"/>
      <c r="I273" s="84"/>
    </row>
    <row r="274" spans="1:16" x14ac:dyDescent="0.2">
      <c r="A274" s="14">
        <v>274</v>
      </c>
      <c r="C274" s="18" t="s">
        <v>656</v>
      </c>
      <c r="D274" s="293">
        <f>H164</f>
        <v>0.66479999999999995</v>
      </c>
      <c r="E274" t="s">
        <v>56</v>
      </c>
      <c r="G274" s="13">
        <f>(K271/TDT)</f>
        <v>66.959999999999994</v>
      </c>
      <c r="H274" t="s">
        <v>637</v>
      </c>
    </row>
    <row r="275" spans="1:16" x14ac:dyDescent="0.2">
      <c r="A275" s="14">
        <v>275</v>
      </c>
    </row>
    <row r="276" spans="1:16" x14ac:dyDescent="0.2">
      <c r="A276" s="14">
        <v>276</v>
      </c>
      <c r="G276" s="334">
        <f>(G274*(1+D274))</f>
        <v>111.48</v>
      </c>
      <c r="H276" t="s">
        <v>637</v>
      </c>
    </row>
    <row r="277" spans="1:16" x14ac:dyDescent="0.2">
      <c r="A277" s="14">
        <v>277</v>
      </c>
    </row>
    <row r="278" spans="1:16" x14ac:dyDescent="0.2">
      <c r="A278" s="14">
        <v>278</v>
      </c>
      <c r="B278" s="418" t="s">
        <v>705</v>
      </c>
      <c r="C278" s="203"/>
      <c r="D278" s="176"/>
      <c r="E278" s="176"/>
      <c r="F278" s="176"/>
      <c r="G278" s="176"/>
      <c r="H278" s="176"/>
      <c r="I278" s="176"/>
      <c r="J278" s="176"/>
      <c r="K278" s="176"/>
      <c r="L278" s="176"/>
      <c r="M278" s="176"/>
      <c r="N278" s="176"/>
      <c r="O278" s="176"/>
      <c r="P278" s="176"/>
    </row>
    <row r="279" spans="1:16" x14ac:dyDescent="0.2">
      <c r="A279" s="14">
        <v>279</v>
      </c>
    </row>
    <row r="280" spans="1:16" x14ac:dyDescent="0.2">
      <c r="A280" s="14">
        <v>280</v>
      </c>
      <c r="B280" s="337" t="s">
        <v>706</v>
      </c>
      <c r="G280" s="57" t="s">
        <v>707</v>
      </c>
    </row>
    <row r="281" spans="1:16" x14ac:dyDescent="0.2">
      <c r="A281" s="14">
        <v>281</v>
      </c>
      <c r="F281" s="160" t="s">
        <v>708</v>
      </c>
      <c r="G281" s="177">
        <v>1</v>
      </c>
    </row>
    <row r="282" spans="1:16" x14ac:dyDescent="0.2">
      <c r="A282" s="14">
        <v>282</v>
      </c>
      <c r="F282" s="160" t="s">
        <v>709</v>
      </c>
      <c r="G282" s="177">
        <v>2</v>
      </c>
      <c r="H282" s="178"/>
      <c r="K282" s="462" t="s">
        <v>673</v>
      </c>
    </row>
    <row r="283" spans="1:16" x14ac:dyDescent="0.2">
      <c r="A283" s="14">
        <v>283</v>
      </c>
      <c r="F283" s="160" t="s">
        <v>710</v>
      </c>
      <c r="G283" s="177">
        <v>3</v>
      </c>
      <c r="H283" s="178"/>
    </row>
    <row r="284" spans="1:16" x14ac:dyDescent="0.2">
      <c r="A284" s="14">
        <v>284</v>
      </c>
    </row>
    <row r="285" spans="1:16" x14ac:dyDescent="0.2">
      <c r="A285" s="14">
        <v>285</v>
      </c>
      <c r="F285" s="171" t="s">
        <v>711</v>
      </c>
      <c r="G285" s="246">
        <f>IF(TDT&lt;=10,G281,IF(AND(TDT&gt;11,TDT&lt;=50),G282,IF(AND(TDT&gt;=51,TDT&lt;250),G283,0)))</f>
        <v>2</v>
      </c>
      <c r="H285" t="s">
        <v>712</v>
      </c>
    </row>
    <row r="286" spans="1:16" x14ac:dyDescent="0.2">
      <c r="A286" s="14">
        <v>286</v>
      </c>
    </row>
    <row r="287" spans="1:16" x14ac:dyDescent="0.2">
      <c r="A287" s="14">
        <v>287</v>
      </c>
      <c r="F287" s="171" t="s">
        <v>713</v>
      </c>
      <c r="G287" s="246">
        <v>5</v>
      </c>
      <c r="H287" t="s">
        <v>56</v>
      </c>
      <c r="K287" s="462" t="s">
        <v>714</v>
      </c>
    </row>
    <row r="288" spans="1:16" x14ac:dyDescent="0.2">
      <c r="A288" s="14">
        <v>288</v>
      </c>
    </row>
    <row r="289" spans="1:16" x14ac:dyDescent="0.2">
      <c r="A289" s="14">
        <v>289</v>
      </c>
      <c r="F289" s="18" t="s">
        <v>715</v>
      </c>
      <c r="G289" s="246">
        <f>FCAS!H60</f>
        <v>52</v>
      </c>
    </row>
    <row r="290" spans="1:16" x14ac:dyDescent="0.2">
      <c r="A290" s="14">
        <v>290</v>
      </c>
    </row>
    <row r="291" spans="1:16" x14ac:dyDescent="0.2">
      <c r="A291" s="14">
        <v>291</v>
      </c>
      <c r="F291" s="160" t="s">
        <v>560</v>
      </c>
      <c r="G291" s="147">
        <f>ROUND((((G289*G287)*G285)/TDT),0)</f>
        <v>10</v>
      </c>
      <c r="H291" s="135" t="s">
        <v>56</v>
      </c>
    </row>
    <row r="292" spans="1:16" x14ac:dyDescent="0.2">
      <c r="A292" s="14">
        <v>292</v>
      </c>
      <c r="B292" s="337" t="s">
        <v>716</v>
      </c>
    </row>
    <row r="293" spans="1:16" x14ac:dyDescent="0.2">
      <c r="A293" s="14">
        <v>293</v>
      </c>
    </row>
    <row r="294" spans="1:16" x14ac:dyDescent="0.2">
      <c r="A294" s="14">
        <v>294</v>
      </c>
      <c r="F294" s="200" t="s">
        <v>717</v>
      </c>
      <c r="G294" s="53">
        <f>SBP*TDP</f>
        <v>2670686.75</v>
      </c>
      <c r="H294" s="4" t="s">
        <v>718</v>
      </c>
    </row>
    <row r="295" spans="1:16" x14ac:dyDescent="0.2">
      <c r="A295" s="14">
        <v>295</v>
      </c>
      <c r="F295" s="161"/>
    </row>
    <row r="296" spans="1:16" x14ac:dyDescent="0.2">
      <c r="A296" s="14">
        <v>296</v>
      </c>
      <c r="F296" s="200" t="s">
        <v>719</v>
      </c>
      <c r="G296" s="246" t="str">
        <f>VLOOKUP(FCAS!E178,TABLAS!D86:I90,FCAS!E180+3)</f>
        <v>28</v>
      </c>
    </row>
    <row r="297" spans="1:16" x14ac:dyDescent="0.2">
      <c r="A297" s="14">
        <v>297</v>
      </c>
      <c r="F297" s="161"/>
    </row>
    <row r="298" spans="1:16" x14ac:dyDescent="0.2">
      <c r="A298" s="14">
        <v>298</v>
      </c>
      <c r="F298" s="339" t="s">
        <v>720</v>
      </c>
      <c r="G298" s="53">
        <f>(G294*G296)*(5.375/10000)</f>
        <v>40193.839999999997</v>
      </c>
      <c r="H298" s="340" t="s">
        <v>721</v>
      </c>
    </row>
    <row r="299" spans="1:16" x14ac:dyDescent="0.2">
      <c r="A299" s="14">
        <v>299</v>
      </c>
      <c r="F299" s="161"/>
    </row>
    <row r="300" spans="1:16" x14ac:dyDescent="0.2">
      <c r="A300" s="14">
        <v>300</v>
      </c>
      <c r="F300" s="300" t="s">
        <v>560</v>
      </c>
      <c r="G300" s="321">
        <f>ROUND((G298/SBP),0)</f>
        <v>5</v>
      </c>
      <c r="H300" s="297" t="s">
        <v>56</v>
      </c>
    </row>
    <row r="301" spans="1:16" x14ac:dyDescent="0.2">
      <c r="A301" s="14">
        <v>301</v>
      </c>
    </row>
    <row r="302" spans="1:16" x14ac:dyDescent="0.2">
      <c r="A302" s="14">
        <v>302</v>
      </c>
      <c r="B302" s="418" t="s">
        <v>722</v>
      </c>
      <c r="C302" s="203"/>
      <c r="D302" s="176"/>
      <c r="E302" s="176"/>
      <c r="F302" s="176"/>
      <c r="G302" s="176"/>
      <c r="H302" s="176"/>
      <c r="I302" s="176"/>
      <c r="J302" s="176"/>
      <c r="K302" s="176"/>
      <c r="L302" s="176"/>
      <c r="M302" s="176"/>
      <c r="N302" s="176"/>
      <c r="O302" s="176"/>
      <c r="P302" s="176"/>
    </row>
    <row r="303" spans="1:16" x14ac:dyDescent="0.2">
      <c r="A303" s="14">
        <v>303</v>
      </c>
    </row>
    <row r="304" spans="1:16" x14ac:dyDescent="0.2">
      <c r="A304" s="14">
        <v>304</v>
      </c>
      <c r="F304" s="18" t="s">
        <v>723</v>
      </c>
      <c r="G304" s="13">
        <f>DPm</f>
        <v>12</v>
      </c>
      <c r="H304" t="s">
        <v>54</v>
      </c>
    </row>
    <row r="305" spans="1:16" x14ac:dyDescent="0.2">
      <c r="A305" s="14">
        <v>305</v>
      </c>
    </row>
    <row r="306" spans="1:16" x14ac:dyDescent="0.2">
      <c r="A306" s="14">
        <v>306</v>
      </c>
      <c r="F306" s="200" t="s">
        <v>431</v>
      </c>
      <c r="G306" s="348" t="str">
        <f>VLOOKUP(G304,TABLAS!F99:H110,2)</f>
        <v>20.00%</v>
      </c>
    </row>
    <row r="307" spans="1:16" x14ac:dyDescent="0.2">
      <c r="A307" s="14">
        <v>307</v>
      </c>
    </row>
    <row r="308" spans="1:16" x14ac:dyDescent="0.2">
      <c r="A308" s="14">
        <v>308</v>
      </c>
      <c r="F308" s="200" t="s">
        <v>724</v>
      </c>
      <c r="G308" s="349" t="str">
        <f>VLOOKUP(G304,TABLAS!F99:H110,3)</f>
        <v>3</v>
      </c>
    </row>
    <row r="309" spans="1:16" x14ac:dyDescent="0.2">
      <c r="A309" s="14">
        <v>309</v>
      </c>
    </row>
    <row r="310" spans="1:16" x14ac:dyDescent="0.2">
      <c r="A310" s="14">
        <v>310</v>
      </c>
      <c r="F310" s="200" t="s">
        <v>725</v>
      </c>
      <c r="G310" s="21">
        <f>(TDT*G306)*G308</f>
        <v>30</v>
      </c>
      <c r="H310" s="161" t="s">
        <v>43</v>
      </c>
    </row>
    <row r="311" spans="1:16" x14ac:dyDescent="0.2">
      <c r="A311" s="14">
        <v>311</v>
      </c>
      <c r="F311" s="200"/>
    </row>
    <row r="312" spans="1:16" x14ac:dyDescent="0.2">
      <c r="A312" s="14">
        <v>312</v>
      </c>
      <c r="F312" s="200" t="s">
        <v>726</v>
      </c>
      <c r="G312" s="350">
        <v>3</v>
      </c>
      <c r="H312" s="340" t="s">
        <v>56</v>
      </c>
      <c r="K312" s="462" t="s">
        <v>714</v>
      </c>
    </row>
    <row r="313" spans="1:16" x14ac:dyDescent="0.2">
      <c r="A313" s="14">
        <v>313</v>
      </c>
      <c r="F313" s="161"/>
    </row>
    <row r="314" spans="1:16" x14ac:dyDescent="0.2">
      <c r="A314" s="14">
        <v>314</v>
      </c>
      <c r="F314" s="339" t="s">
        <v>560</v>
      </c>
      <c r="G314" s="351">
        <f>G310*G312</f>
        <v>90</v>
      </c>
      <c r="H314" s="340" t="s">
        <v>56</v>
      </c>
    </row>
    <row r="315" spans="1:16" x14ac:dyDescent="0.2">
      <c r="A315" s="14">
        <v>315</v>
      </c>
    </row>
    <row r="316" spans="1:16" x14ac:dyDescent="0.2">
      <c r="A316" s="14">
        <v>316</v>
      </c>
      <c r="B316" s="418" t="s">
        <v>727</v>
      </c>
      <c r="C316" s="203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  <c r="P316" s="176"/>
    </row>
    <row r="317" spans="1:16" x14ac:dyDescent="0.2">
      <c r="A317" s="14">
        <v>317</v>
      </c>
      <c r="F317" s="161"/>
      <c r="G317" s="4" t="s">
        <v>728</v>
      </c>
      <c r="H317" s="4" t="s">
        <v>729</v>
      </c>
      <c r="I317" s="4" t="s">
        <v>730</v>
      </c>
    </row>
    <row r="318" spans="1:16" x14ac:dyDescent="0.2">
      <c r="A318" s="14">
        <v>318</v>
      </c>
      <c r="C318" s="160" t="s">
        <v>731</v>
      </c>
      <c r="D318" s="352">
        <v>1.2</v>
      </c>
      <c r="E318" s="353"/>
      <c r="F318" s="298"/>
      <c r="G318" s="354">
        <f>TDP</f>
        <v>365</v>
      </c>
      <c r="H318" s="355">
        <f>SBP</f>
        <v>7316.95</v>
      </c>
      <c r="I318" s="353" t="str">
        <f>SMN</f>
        <v>177507.44</v>
      </c>
      <c r="J318" s="137"/>
      <c r="K318" s="462" t="s">
        <v>732</v>
      </c>
      <c r="L318" s="356"/>
    </row>
    <row r="319" spans="1:16" x14ac:dyDescent="0.2">
      <c r="A319" s="14">
        <v>319</v>
      </c>
      <c r="D319" s="357"/>
    </row>
    <row r="320" spans="1:16" x14ac:dyDescent="0.2">
      <c r="A320" s="14">
        <v>320</v>
      </c>
      <c r="B320" s="358" t="s">
        <v>733</v>
      </c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</row>
    <row r="321" spans="1:12" x14ac:dyDescent="0.2">
      <c r="A321" s="14">
        <v>321</v>
      </c>
      <c r="I321" s="287" t="s">
        <v>734</v>
      </c>
    </row>
    <row r="322" spans="1:12" x14ac:dyDescent="0.2">
      <c r="A322" s="14">
        <v>322</v>
      </c>
      <c r="B322" s="453" t="s">
        <v>735</v>
      </c>
      <c r="C322" s="359" t="s">
        <v>736</v>
      </c>
      <c r="D322" s="360"/>
      <c r="E322" s="360"/>
      <c r="F322" s="360"/>
      <c r="G322" s="287" t="s">
        <v>36</v>
      </c>
      <c r="H322" s="287" t="s">
        <v>737</v>
      </c>
      <c r="I322" s="287" t="s">
        <v>43</v>
      </c>
    </row>
    <row r="323" spans="1:12" x14ac:dyDescent="0.2">
      <c r="A323" s="14">
        <v>323</v>
      </c>
      <c r="F323" s="287" t="s">
        <v>738</v>
      </c>
      <c r="G323" s="287" t="s">
        <v>738</v>
      </c>
      <c r="H323" s="287" t="s">
        <v>739</v>
      </c>
      <c r="I323" s="287" t="s">
        <v>740</v>
      </c>
      <c r="J323" s="172" t="s">
        <v>741</v>
      </c>
      <c r="K323" s="288" t="s">
        <v>742</v>
      </c>
      <c r="L323" s="287" t="s">
        <v>743</v>
      </c>
    </row>
    <row r="324" spans="1:12" x14ac:dyDescent="0.2">
      <c r="A324" s="14">
        <v>324</v>
      </c>
      <c r="B324" s="372">
        <v>0.5</v>
      </c>
      <c r="C324" s="361">
        <f>IF(((TDP/30)/12)&gt;1,((TDP/30)/12)*1,1)</f>
        <v>1</v>
      </c>
      <c r="D324" s="135" t="s">
        <v>744</v>
      </c>
      <c r="E324" s="160" t="s">
        <v>745</v>
      </c>
      <c r="F324" s="362">
        <f>IF(((SBP*30)*20)&gt;(20*SMN),((20*SMN)*(1+$D$318)),(((SBP*30)*20)*(1+$D$318)))</f>
        <v>7810327.3600000003</v>
      </c>
      <c r="G324" s="362">
        <f>(C324*F324)+VARIABLES!C83</f>
        <v>7910327.3600000003</v>
      </c>
      <c r="H324" s="363">
        <f>ROUNDUP(((G324/SBP)*((TDP/30)/12)),0)</f>
        <v>1097</v>
      </c>
      <c r="I324" s="364">
        <f>(TDT*B324)</f>
        <v>25</v>
      </c>
      <c r="J324" s="365">
        <f>1/20</f>
        <v>0.05</v>
      </c>
      <c r="K324" s="366">
        <f>ROUND((I324*J324),0)</f>
        <v>1</v>
      </c>
      <c r="L324" s="367">
        <f>(K324*H324)</f>
        <v>1097</v>
      </c>
    </row>
    <row r="325" spans="1:12" x14ac:dyDescent="0.2">
      <c r="A325" s="14">
        <v>325</v>
      </c>
      <c r="I325" s="368"/>
      <c r="J325" s="369"/>
      <c r="K325" s="368"/>
      <c r="L325" s="368"/>
    </row>
    <row r="326" spans="1:12" x14ac:dyDescent="0.2">
      <c r="A326" s="14">
        <v>326</v>
      </c>
      <c r="B326" s="453" t="s">
        <v>746</v>
      </c>
      <c r="C326" s="359" t="s">
        <v>747</v>
      </c>
      <c r="D326" s="360"/>
      <c r="E326" s="360"/>
      <c r="F326" s="360"/>
      <c r="G326" s="287" t="s">
        <v>36</v>
      </c>
      <c r="I326" s="368"/>
      <c r="J326" s="368"/>
      <c r="K326" s="368"/>
      <c r="L326" s="368"/>
    </row>
    <row r="327" spans="1:12" x14ac:dyDescent="0.2">
      <c r="A327" s="14">
        <v>327</v>
      </c>
      <c r="F327" s="287" t="s">
        <v>738</v>
      </c>
      <c r="G327" s="287" t="s">
        <v>738</v>
      </c>
      <c r="H327" s="287" t="s">
        <v>743</v>
      </c>
      <c r="I327" s="368"/>
      <c r="J327" s="368"/>
      <c r="K327" s="368"/>
      <c r="L327" s="368"/>
    </row>
    <row r="328" spans="1:12" x14ac:dyDescent="0.2">
      <c r="A328" s="14">
        <v>328</v>
      </c>
      <c r="B328" s="372">
        <v>0.6</v>
      </c>
      <c r="C328" s="361">
        <f>IF(((TDP/30)/12)&gt;1,((TDP/30)/12)*1,1)</f>
        <v>1</v>
      </c>
      <c r="D328" s="135" t="s">
        <v>748</v>
      </c>
      <c r="E328" s="160" t="s">
        <v>745</v>
      </c>
      <c r="F328" s="362">
        <f>IF(((SBP*30)*14)&gt;(14*SMN),((14*SMN)*(1+$D$318)),(((SBP*30)*14)*(1+$D$318)))</f>
        <v>5467229.1500000004</v>
      </c>
      <c r="G328" s="362">
        <f>(C328*F328)+(DPm*VARIABLES!C85)</f>
        <v>11467229.15</v>
      </c>
      <c r="H328" s="363">
        <f>ROUNDUP(((G328/SBP)*((TDP/30)/12)),0)</f>
        <v>1589</v>
      </c>
      <c r="I328" s="364">
        <f>(TDT*B328)</f>
        <v>30</v>
      </c>
      <c r="J328" s="365">
        <f>1/30</f>
        <v>3.3329999999999999E-2</v>
      </c>
      <c r="K328" s="366">
        <f>ROUND((I328*J328),0)</f>
        <v>1</v>
      </c>
      <c r="L328" s="367">
        <f>(K328*H328)</f>
        <v>1589</v>
      </c>
    </row>
    <row r="329" spans="1:12" x14ac:dyDescent="0.2">
      <c r="A329" s="14">
        <v>329</v>
      </c>
      <c r="I329" s="368"/>
      <c r="J329" s="368"/>
      <c r="K329" s="368"/>
      <c r="L329" s="368"/>
    </row>
    <row r="330" spans="1:12" x14ac:dyDescent="0.2">
      <c r="A330" s="14">
        <v>330</v>
      </c>
      <c r="B330" s="453" t="s">
        <v>749</v>
      </c>
      <c r="C330" s="359" t="s">
        <v>750</v>
      </c>
      <c r="D330" s="360"/>
      <c r="E330" s="360"/>
      <c r="F330" s="360"/>
      <c r="G330" s="287" t="s">
        <v>36</v>
      </c>
      <c r="I330" s="368"/>
      <c r="J330" s="368"/>
      <c r="K330" s="368"/>
      <c r="L330" s="368"/>
    </row>
    <row r="331" spans="1:12" x14ac:dyDescent="0.2">
      <c r="A331" s="14">
        <v>331</v>
      </c>
      <c r="F331" s="287" t="s">
        <v>738</v>
      </c>
      <c r="G331" s="287" t="s">
        <v>738</v>
      </c>
      <c r="H331" s="287" t="s">
        <v>743</v>
      </c>
      <c r="I331" s="368"/>
      <c r="J331" s="368"/>
      <c r="K331" s="368"/>
      <c r="L331" s="368"/>
    </row>
    <row r="332" spans="1:12" x14ac:dyDescent="0.2">
      <c r="A332" s="14">
        <v>332</v>
      </c>
      <c r="B332" s="372">
        <v>0.7</v>
      </c>
      <c r="C332" s="361">
        <f>IF(((TDP/30)/12)&gt;1,((TDP/30)/12)*1,1)</f>
        <v>1</v>
      </c>
      <c r="D332" s="135" t="s">
        <v>748</v>
      </c>
      <c r="E332" s="160" t="s">
        <v>745</v>
      </c>
      <c r="F332" s="362">
        <f>((SBP*30)*(TDP/30))*(1+$D$318)</f>
        <v>5875510.8499999996</v>
      </c>
      <c r="G332" s="362">
        <f>(C332*F332)+(DPm*VARIABLES!C85)</f>
        <v>11875510.85</v>
      </c>
      <c r="H332" s="363">
        <f>ROUNDUP(((G332/SBP)*((TDP/30)/12)),0)</f>
        <v>1646</v>
      </c>
      <c r="I332" s="364">
        <f>(TDT*B332)</f>
        <v>35</v>
      </c>
      <c r="J332" s="365">
        <f>1/40</f>
        <v>2.5000000000000001E-2</v>
      </c>
      <c r="K332" s="366">
        <f>ROUND((I332*J332),0)</f>
        <v>1</v>
      </c>
      <c r="L332" s="367">
        <f>(K332*H332)</f>
        <v>1646</v>
      </c>
    </row>
    <row r="333" spans="1:12" x14ac:dyDescent="0.2">
      <c r="A333" s="14">
        <v>333</v>
      </c>
      <c r="I333" s="368"/>
      <c r="J333" s="368"/>
      <c r="K333" s="368"/>
      <c r="L333" s="368"/>
    </row>
    <row r="334" spans="1:12" x14ac:dyDescent="0.2">
      <c r="A334" s="14">
        <v>334</v>
      </c>
      <c r="B334" s="453" t="s">
        <v>749</v>
      </c>
      <c r="C334" s="359" t="s">
        <v>751</v>
      </c>
      <c r="D334" s="360"/>
      <c r="E334" s="360"/>
      <c r="G334" s="287" t="s">
        <v>36</v>
      </c>
      <c r="I334" s="368"/>
      <c r="J334" s="368"/>
      <c r="K334" s="368"/>
      <c r="L334" s="368"/>
    </row>
    <row r="335" spans="1:12" x14ac:dyDescent="0.2">
      <c r="A335" s="14">
        <v>335</v>
      </c>
      <c r="F335" s="287" t="s">
        <v>738</v>
      </c>
      <c r="G335" s="287" t="s">
        <v>738</v>
      </c>
      <c r="H335" s="287" t="s">
        <v>743</v>
      </c>
      <c r="I335" s="368"/>
      <c r="J335" s="368"/>
      <c r="K335" s="368"/>
      <c r="L335" s="368"/>
    </row>
    <row r="336" spans="1:12" x14ac:dyDescent="0.2">
      <c r="A336" s="14">
        <v>336</v>
      </c>
      <c r="B336" s="372">
        <v>0.8</v>
      </c>
      <c r="C336" s="361">
        <f>IF(((TDP/30)/12)&gt;1,((TDP/30)/12)*1,1)</f>
        <v>1</v>
      </c>
      <c r="D336" s="135" t="s">
        <v>748</v>
      </c>
      <c r="E336" s="160" t="s">
        <v>745</v>
      </c>
      <c r="F336" s="362">
        <f>IF(((SBP*30)*12)&gt;(12*SMN),((12*SMN)*(1+D318)),(((SBP*30)*12)*(1+D318)))</f>
        <v>4686196.42</v>
      </c>
      <c r="G336" s="362">
        <f>(C336*F336)+(DPm*VARIABLES!C85)</f>
        <v>10686196.42</v>
      </c>
      <c r="H336" s="363">
        <f>ROUNDUP(((G336/SBP)*((TDP/30)/12)),0)</f>
        <v>1481</v>
      </c>
      <c r="I336" s="364">
        <f>(TDT*B336)</f>
        <v>40</v>
      </c>
      <c r="J336" s="365">
        <f>1/50</f>
        <v>0.02</v>
      </c>
      <c r="K336" s="366">
        <f>ROUND((I336*J336),0)</f>
        <v>1</v>
      </c>
      <c r="L336" s="367">
        <f>(K336*H336)</f>
        <v>1481</v>
      </c>
    </row>
    <row r="337" spans="1:16" x14ac:dyDescent="0.2">
      <c r="A337" s="14">
        <v>337</v>
      </c>
      <c r="I337" s="368"/>
      <c r="J337" s="368"/>
      <c r="K337" s="368"/>
      <c r="L337" s="368"/>
    </row>
    <row r="338" spans="1:16" x14ac:dyDescent="0.2">
      <c r="A338" s="14">
        <v>338</v>
      </c>
      <c r="B338" s="453" t="s">
        <v>749</v>
      </c>
      <c r="C338" s="359" t="s">
        <v>752</v>
      </c>
      <c r="D338" s="360"/>
      <c r="E338" s="360"/>
      <c r="G338" s="287" t="s">
        <v>36</v>
      </c>
      <c r="I338" s="368"/>
      <c r="J338" s="368"/>
      <c r="K338" s="368"/>
      <c r="L338" s="368"/>
    </row>
    <row r="339" spans="1:16" x14ac:dyDescent="0.2">
      <c r="A339" s="14">
        <v>339</v>
      </c>
      <c r="F339" s="287" t="s">
        <v>738</v>
      </c>
      <c r="G339" s="287" t="s">
        <v>738</v>
      </c>
      <c r="H339" s="287" t="s">
        <v>743</v>
      </c>
      <c r="I339" s="368"/>
      <c r="J339" s="368"/>
      <c r="K339" s="368"/>
      <c r="L339" s="368"/>
    </row>
    <row r="340" spans="1:16" x14ac:dyDescent="0.2">
      <c r="A340" s="14">
        <v>340</v>
      </c>
      <c r="B340" s="372">
        <v>1</v>
      </c>
      <c r="C340" s="361">
        <f>IF(((TDP/30)/12)&gt;1,((TDP/30)/12)*1,1)</f>
        <v>1</v>
      </c>
      <c r="D340" s="135" t="s">
        <v>748</v>
      </c>
      <c r="E340" s="160" t="s">
        <v>745</v>
      </c>
      <c r="F340" s="362">
        <f>((TDP)*(SBP))*(1+D318)</f>
        <v>5875510.8499999996</v>
      </c>
      <c r="G340" s="362">
        <f>(C340*F340)+(DPm*VARIABLES!C85)</f>
        <v>11875510.85</v>
      </c>
      <c r="H340" s="363">
        <f>ROUNDUP(((G340/SBP)*((TDP/30)/12)),0)</f>
        <v>1646</v>
      </c>
      <c r="I340" s="364">
        <f>(TDT*B340)</f>
        <v>50</v>
      </c>
      <c r="J340" s="365">
        <f>1/50</f>
        <v>0.02</v>
      </c>
      <c r="K340" s="366">
        <f>ROUND((I340*J340),0)</f>
        <v>1</v>
      </c>
      <c r="L340" s="367">
        <f>(K340*H340)</f>
        <v>1646</v>
      </c>
    </row>
    <row r="341" spans="1:16" x14ac:dyDescent="0.2">
      <c r="A341" s="14">
        <v>341</v>
      </c>
    </row>
    <row r="342" spans="1:16" x14ac:dyDescent="0.2">
      <c r="A342" s="14">
        <v>342</v>
      </c>
      <c r="B342" s="454"/>
      <c r="C342" s="455"/>
      <c r="D342" s="136"/>
      <c r="E342" s="136"/>
      <c r="H342" s="356"/>
      <c r="I342" s="370">
        <f>(I324+I328+I332+I336+I340)</f>
        <v>180</v>
      </c>
      <c r="J342" s="371">
        <f>(K324+K328+K332+K336+K340)</f>
        <v>5</v>
      </c>
      <c r="K342" s="171" t="s">
        <v>743</v>
      </c>
      <c r="L342" s="367">
        <f>ROUNDUP((L324+L328+L332+L336+L340),0)</f>
        <v>7459</v>
      </c>
    </row>
    <row r="343" spans="1:16" x14ac:dyDescent="0.2">
      <c r="A343" s="14">
        <v>343</v>
      </c>
    </row>
    <row r="344" spans="1:16" x14ac:dyDescent="0.2">
      <c r="A344" s="14">
        <v>344</v>
      </c>
    </row>
    <row r="345" spans="1:16" x14ac:dyDescent="0.2">
      <c r="A345" s="14">
        <v>345</v>
      </c>
      <c r="I345" s="171" t="s">
        <v>753</v>
      </c>
      <c r="J345" s="334">
        <f>(L342/TDT)</f>
        <v>149.18</v>
      </c>
      <c r="K345" t="s">
        <v>56</v>
      </c>
    </row>
    <row r="346" spans="1:16" x14ac:dyDescent="0.2">
      <c r="A346" s="14">
        <v>346</v>
      </c>
    </row>
    <row r="347" spans="1:16" x14ac:dyDescent="0.2">
      <c r="A347" s="14">
        <v>347</v>
      </c>
      <c r="I347" s="171" t="s">
        <v>754</v>
      </c>
      <c r="J347" s="334">
        <f>(L324/TDT)</f>
        <v>21.94</v>
      </c>
      <c r="K347" t="s">
        <v>56</v>
      </c>
    </row>
    <row r="348" spans="1:16" x14ac:dyDescent="0.2">
      <c r="A348" s="14">
        <v>348</v>
      </c>
    </row>
    <row r="349" spans="1:16" x14ac:dyDescent="0.2">
      <c r="A349" s="14">
        <v>349</v>
      </c>
      <c r="B349" s="418" t="s">
        <v>755</v>
      </c>
      <c r="C349" s="203"/>
      <c r="D349" s="176"/>
      <c r="E349" s="176"/>
      <c r="F349" s="176"/>
      <c r="G349" s="176"/>
      <c r="H349" s="176"/>
      <c r="I349" s="176"/>
      <c r="J349" s="176"/>
      <c r="K349" s="176"/>
      <c r="L349" s="176"/>
      <c r="M349" s="176"/>
      <c r="N349" s="176"/>
      <c r="O349" s="176"/>
      <c r="P349" s="176"/>
    </row>
    <row r="350" spans="1:16" x14ac:dyDescent="0.2">
      <c r="A350" s="14">
        <v>350</v>
      </c>
    </row>
    <row r="351" spans="1:16" x14ac:dyDescent="0.2">
      <c r="A351" s="14">
        <v>351</v>
      </c>
      <c r="F351" s="200" t="s">
        <v>756</v>
      </c>
      <c r="G351" s="246">
        <f>IF(TDT&lt;=70,1,IF(TDT&lt;=240,2,3))</f>
        <v>1</v>
      </c>
      <c r="H351" t="s">
        <v>43</v>
      </c>
    </row>
    <row r="352" spans="1:16" x14ac:dyDescent="0.2">
      <c r="A352" s="14">
        <v>352</v>
      </c>
    </row>
    <row r="353" spans="1:16" x14ac:dyDescent="0.2">
      <c r="A353" s="14">
        <v>353</v>
      </c>
      <c r="F353" s="160" t="s">
        <v>560</v>
      </c>
      <c r="G353" s="147">
        <f>G351*1</f>
        <v>1</v>
      </c>
      <c r="H353" s="135" t="s">
        <v>56</v>
      </c>
    </row>
    <row r="354" spans="1:16" x14ac:dyDescent="0.2">
      <c r="A354" s="14">
        <v>354</v>
      </c>
    </row>
    <row r="355" spans="1:16" x14ac:dyDescent="0.2">
      <c r="A355" s="14">
        <v>355</v>
      </c>
      <c r="B355" s="418" t="s">
        <v>757</v>
      </c>
      <c r="C355" s="203"/>
      <c r="D355" s="176"/>
      <c r="E355" s="176"/>
      <c r="F355" s="176"/>
      <c r="G355" s="176"/>
      <c r="H355" s="176"/>
      <c r="I355" s="176"/>
      <c r="J355" s="176"/>
      <c r="K355" s="176"/>
      <c r="L355" s="176"/>
      <c r="M355" s="176"/>
      <c r="N355" s="176"/>
      <c r="O355" s="176"/>
      <c r="P355" s="176"/>
    </row>
    <row r="356" spans="1:16" x14ac:dyDescent="0.2">
      <c r="A356" s="14">
        <v>356</v>
      </c>
    </row>
    <row r="357" spans="1:16" x14ac:dyDescent="0.2">
      <c r="A357" s="14">
        <v>357</v>
      </c>
      <c r="F357" s="18" t="s">
        <v>126</v>
      </c>
      <c r="G357" s="51">
        <f>VARIABLES!C87</f>
        <v>2000000</v>
      </c>
      <c r="H357" t="s">
        <v>506</v>
      </c>
      <c r="I357" s="18" t="s">
        <v>758</v>
      </c>
      <c r="J357" s="13">
        <v>2</v>
      </c>
      <c r="K357" t="s">
        <v>759</v>
      </c>
      <c r="L357" s="462" t="s">
        <v>760</v>
      </c>
    </row>
    <row r="358" spans="1:16" x14ac:dyDescent="0.2">
      <c r="A358" s="14">
        <v>358</v>
      </c>
    </row>
    <row r="359" spans="1:16" x14ac:dyDescent="0.2">
      <c r="A359" s="14">
        <v>359</v>
      </c>
      <c r="F359" s="4" t="s">
        <v>761</v>
      </c>
    </row>
    <row r="360" spans="1:16" x14ac:dyDescent="0.2">
      <c r="A360" s="14">
        <v>360</v>
      </c>
    </row>
    <row r="361" spans="1:16" x14ac:dyDescent="0.2">
      <c r="A361" s="14">
        <v>361</v>
      </c>
      <c r="F361" s="223" t="s">
        <v>614</v>
      </c>
      <c r="G361" s="224">
        <f>J83</f>
        <v>110376000</v>
      </c>
      <c r="H361" t="s">
        <v>615</v>
      </c>
    </row>
    <row r="362" spans="1:16" x14ac:dyDescent="0.2">
      <c r="A362" s="14">
        <v>362</v>
      </c>
    </row>
    <row r="363" spans="1:16" x14ac:dyDescent="0.2">
      <c r="A363" s="14">
        <v>363</v>
      </c>
      <c r="F363" s="223" t="s">
        <v>577</v>
      </c>
      <c r="G363" s="224">
        <f>J87</f>
        <v>6338836</v>
      </c>
      <c r="H363" t="s">
        <v>612</v>
      </c>
    </row>
    <row r="364" spans="1:16" x14ac:dyDescent="0.2">
      <c r="A364" s="14">
        <v>364</v>
      </c>
    </row>
    <row r="365" spans="1:16" x14ac:dyDescent="0.2">
      <c r="A365" s="14">
        <v>365</v>
      </c>
      <c r="F365" s="160" t="s">
        <v>762</v>
      </c>
      <c r="G365" s="279">
        <f>(((((DPm/12)*J357)*G357)/TDT)/SBP)+((G361+G363)/TDP)/SBP</f>
        <v>54.6357</v>
      </c>
      <c r="H365" s="135" t="s">
        <v>56</v>
      </c>
    </row>
    <row r="366" spans="1:16" x14ac:dyDescent="0.2">
      <c r="A366" s="14">
        <v>366</v>
      </c>
    </row>
    <row r="367" spans="1:16" x14ac:dyDescent="0.2">
      <c r="A367" s="14">
        <v>367</v>
      </c>
      <c r="B367" s="418" t="s">
        <v>763</v>
      </c>
      <c r="C367" s="203"/>
      <c r="D367" s="176"/>
      <c r="E367" s="176"/>
      <c r="F367" s="176"/>
      <c r="G367" s="176"/>
      <c r="H367" s="176"/>
      <c r="I367" s="176"/>
      <c r="J367" s="176"/>
      <c r="K367" s="176"/>
      <c r="L367" s="176"/>
      <c r="M367" s="176"/>
      <c r="N367" s="176"/>
      <c r="O367" s="176"/>
      <c r="P367" s="176"/>
    </row>
    <row r="368" spans="1:16" x14ac:dyDescent="0.2">
      <c r="A368" s="14">
        <v>368</v>
      </c>
    </row>
    <row r="369" spans="1:14" x14ac:dyDescent="0.2">
      <c r="A369" s="14">
        <v>369</v>
      </c>
      <c r="D369" s="378" t="s">
        <v>764</v>
      </c>
      <c r="E369" s="380">
        <f>VARIABLES!C89</f>
        <v>750000</v>
      </c>
      <c r="F369" s="379" t="s">
        <v>765</v>
      </c>
      <c r="G369" s="171" t="s">
        <v>766</v>
      </c>
      <c r="H369" s="177">
        <v>44</v>
      </c>
      <c r="I369" t="s">
        <v>767</v>
      </c>
      <c r="J369" s="462" t="s">
        <v>714</v>
      </c>
    </row>
    <row r="370" spans="1:14" x14ac:dyDescent="0.2">
      <c r="A370" s="14">
        <v>370</v>
      </c>
    </row>
    <row r="371" spans="1:14" x14ac:dyDescent="0.2">
      <c r="A371" s="14">
        <v>371</v>
      </c>
      <c r="C371" s="377"/>
      <c r="D371" s="378" t="s">
        <v>768</v>
      </c>
      <c r="E371" s="380">
        <f>VARIABLES!C91</f>
        <v>10000</v>
      </c>
      <c r="F371" s="379" t="s">
        <v>506</v>
      </c>
      <c r="G371" s="18" t="s">
        <v>766</v>
      </c>
      <c r="H371" s="177">
        <v>25</v>
      </c>
      <c r="I371" s="4" t="s">
        <v>769</v>
      </c>
      <c r="J371" s="462" t="s">
        <v>714</v>
      </c>
    </row>
    <row r="372" spans="1:14" x14ac:dyDescent="0.2">
      <c r="A372" s="14">
        <v>372</v>
      </c>
      <c r="C372" s="377"/>
    </row>
    <row r="373" spans="1:14" x14ac:dyDescent="0.2">
      <c r="A373" s="14">
        <v>373</v>
      </c>
      <c r="C373" s="377"/>
      <c r="D373" s="378" t="s">
        <v>770</v>
      </c>
      <c r="E373" s="380">
        <f>VARIABLES!C93</f>
        <v>50000</v>
      </c>
      <c r="F373" s="379" t="s">
        <v>506</v>
      </c>
      <c r="G373" s="18" t="s">
        <v>771</v>
      </c>
      <c r="H373" s="197">
        <f>((PI()*(0.15)^2)*0.5)*1000</f>
        <v>35.340000000000003</v>
      </c>
      <c r="I373" t="s">
        <v>772</v>
      </c>
    </row>
    <row r="374" spans="1:14" x14ac:dyDescent="0.2">
      <c r="A374" s="14">
        <v>374</v>
      </c>
      <c r="C374" s="377"/>
    </row>
    <row r="375" spans="1:14" x14ac:dyDescent="0.2">
      <c r="A375" s="14">
        <v>375</v>
      </c>
      <c r="C375" s="377"/>
      <c r="D375" s="378" t="s">
        <v>773</v>
      </c>
      <c r="E375" s="380">
        <v>890</v>
      </c>
      <c r="F375" s="379" t="s">
        <v>774</v>
      </c>
      <c r="G375" s="200" t="s">
        <v>766</v>
      </c>
      <c r="H375" s="177">
        <v>90</v>
      </c>
      <c r="I375" s="4" t="s">
        <v>775</v>
      </c>
      <c r="K375" s="200" t="s">
        <v>776</v>
      </c>
      <c r="L375" s="177">
        <v>3000</v>
      </c>
      <c r="M375" s="4" t="s">
        <v>777</v>
      </c>
      <c r="N375" s="462" t="s">
        <v>778</v>
      </c>
    </row>
    <row r="376" spans="1:14" x14ac:dyDescent="0.2">
      <c r="A376" s="14">
        <v>376</v>
      </c>
      <c r="C376" s="377"/>
    </row>
    <row r="377" spans="1:14" x14ac:dyDescent="0.2">
      <c r="A377" s="14">
        <v>377</v>
      </c>
      <c r="C377" s="377"/>
      <c r="D377" s="18" t="s">
        <v>779</v>
      </c>
      <c r="G377" s="381" t="s">
        <v>780</v>
      </c>
      <c r="H377" s="374">
        <f>((1/50)*H373)</f>
        <v>0.70699999999999996</v>
      </c>
      <c r="I377" s="382" t="s">
        <v>781</v>
      </c>
    </row>
    <row r="378" spans="1:14" x14ac:dyDescent="0.2">
      <c r="A378" s="14">
        <v>378</v>
      </c>
      <c r="C378" s="377"/>
      <c r="I378" s="385" t="s">
        <v>560</v>
      </c>
      <c r="J378" s="386">
        <f>(H377+H379)</f>
        <v>1</v>
      </c>
      <c r="K378" t="s">
        <v>782</v>
      </c>
    </row>
    <row r="379" spans="1:14" x14ac:dyDescent="0.2">
      <c r="A379" s="14">
        <v>379</v>
      </c>
      <c r="G379" s="381" t="s">
        <v>783</v>
      </c>
      <c r="H379" s="374">
        <f>(1-H377)</f>
        <v>0.29299999999999998</v>
      </c>
      <c r="I379" s="382" t="s">
        <v>781</v>
      </c>
    </row>
    <row r="380" spans="1:14" x14ac:dyDescent="0.2">
      <c r="A380" s="14">
        <v>380</v>
      </c>
    </row>
    <row r="381" spans="1:14" x14ac:dyDescent="0.2">
      <c r="A381" s="14">
        <v>381</v>
      </c>
      <c r="G381" s="84"/>
    </row>
    <row r="382" spans="1:14" x14ac:dyDescent="0.2">
      <c r="A382" s="14">
        <v>382</v>
      </c>
      <c r="E382" s="381" t="s">
        <v>784</v>
      </c>
      <c r="F382" s="384">
        <v>4</v>
      </c>
      <c r="G382" s="382" t="s">
        <v>782</v>
      </c>
      <c r="J382" s="381" t="s">
        <v>785</v>
      </c>
      <c r="K382" s="320">
        <f>(TDT*F382)</f>
        <v>200</v>
      </c>
      <c r="L382" s="382" t="s">
        <v>786</v>
      </c>
      <c r="M382" s="462" t="s">
        <v>787</v>
      </c>
    </row>
    <row r="383" spans="1:14" x14ac:dyDescent="0.2">
      <c r="A383" s="14">
        <v>383</v>
      </c>
      <c r="E383" s="381" t="s">
        <v>788</v>
      </c>
      <c r="F383" s="373">
        <f>(F382*TDT)*(TDET+TDLL)</f>
        <v>51744</v>
      </c>
      <c r="G383" s="382" t="s">
        <v>789</v>
      </c>
      <c r="H383" s="84"/>
      <c r="J383" s="18" t="s">
        <v>790</v>
      </c>
      <c r="K383" s="320">
        <f>(K382/44)</f>
        <v>5</v>
      </c>
      <c r="L383" s="382" t="s">
        <v>506</v>
      </c>
    </row>
    <row r="384" spans="1:14" x14ac:dyDescent="0.2">
      <c r="A384" s="14">
        <v>384</v>
      </c>
      <c r="G384" s="84"/>
      <c r="J384" s="381" t="s">
        <v>791</v>
      </c>
      <c r="K384" s="320">
        <f>E369</f>
        <v>750000</v>
      </c>
      <c r="L384" s="382" t="s">
        <v>506</v>
      </c>
    </row>
    <row r="385" spans="1:16" x14ac:dyDescent="0.2">
      <c r="A385" s="14">
        <v>385</v>
      </c>
      <c r="E385" s="381" t="s">
        <v>792</v>
      </c>
      <c r="F385" s="374">
        <f>(E371/H371)</f>
        <v>400</v>
      </c>
      <c r="G385" s="382" t="s">
        <v>793</v>
      </c>
      <c r="J385" s="381" t="s">
        <v>791</v>
      </c>
      <c r="K385" s="374">
        <f>(K383*K384)/365</f>
        <v>10273.973</v>
      </c>
      <c r="L385" s="382" t="s">
        <v>794</v>
      </c>
    </row>
    <row r="386" spans="1:16" x14ac:dyDescent="0.2">
      <c r="A386" s="14">
        <v>386</v>
      </c>
      <c r="G386" s="84"/>
      <c r="J386" s="298" t="s">
        <v>795</v>
      </c>
      <c r="K386" s="375">
        <f>(K385*TDP)</f>
        <v>3750000</v>
      </c>
      <c r="L386" s="289" t="s">
        <v>506</v>
      </c>
    </row>
    <row r="387" spans="1:16" x14ac:dyDescent="0.2">
      <c r="A387" s="14">
        <v>387</v>
      </c>
      <c r="E387" s="381" t="s">
        <v>796</v>
      </c>
      <c r="F387" s="374">
        <f>(E373/H373)</f>
        <v>1414.827</v>
      </c>
      <c r="G387" s="382" t="s">
        <v>793</v>
      </c>
    </row>
    <row r="388" spans="1:16" x14ac:dyDescent="0.2">
      <c r="A388" s="14">
        <v>388</v>
      </c>
      <c r="G388" s="84"/>
      <c r="J388" s="381" t="s">
        <v>797</v>
      </c>
      <c r="K388" s="320">
        <f>(1000/90)</f>
        <v>11</v>
      </c>
      <c r="L388" s="382" t="s">
        <v>798</v>
      </c>
    </row>
    <row r="389" spans="1:16" x14ac:dyDescent="0.2">
      <c r="A389" s="14">
        <v>389</v>
      </c>
      <c r="E389" s="298" t="s">
        <v>799</v>
      </c>
      <c r="F389" s="375">
        <f>(F383*H379)*F385</f>
        <v>6064397</v>
      </c>
      <c r="G389" s="289" t="s">
        <v>506</v>
      </c>
      <c r="J389" s="381" t="s">
        <v>800</v>
      </c>
      <c r="K389" s="320">
        <f>(F383*K388)</f>
        <v>569184</v>
      </c>
      <c r="L389" s="382" t="s">
        <v>801</v>
      </c>
    </row>
    <row r="390" spans="1:16" x14ac:dyDescent="0.2">
      <c r="A390" s="14">
        <v>390</v>
      </c>
      <c r="J390" s="381" t="s">
        <v>182</v>
      </c>
      <c r="K390" s="376">
        <f>(E375/L375)</f>
        <v>0.29670000000000002</v>
      </c>
      <c r="L390" s="382" t="s">
        <v>802</v>
      </c>
    </row>
    <row r="391" spans="1:16" x14ac:dyDescent="0.2">
      <c r="A391" s="14">
        <v>391</v>
      </c>
      <c r="E391" s="298" t="s">
        <v>803</v>
      </c>
      <c r="F391" s="375">
        <f>(F383*H377)*F387</f>
        <v>51758627</v>
      </c>
      <c r="G391" s="289" t="s">
        <v>506</v>
      </c>
      <c r="H391" s="84"/>
      <c r="J391" s="298" t="s">
        <v>804</v>
      </c>
      <c r="K391" s="375">
        <f>(K389*K390)</f>
        <v>168877</v>
      </c>
      <c r="L391" s="289" t="s">
        <v>506</v>
      </c>
    </row>
    <row r="392" spans="1:16" x14ac:dyDescent="0.2">
      <c r="A392" s="14">
        <v>392</v>
      </c>
      <c r="H392" s="84"/>
    </row>
    <row r="393" spans="1:16" x14ac:dyDescent="0.2">
      <c r="A393" s="14">
        <v>393</v>
      </c>
      <c r="G393" s="84"/>
      <c r="H393" s="84"/>
    </row>
    <row r="394" spans="1:16" x14ac:dyDescent="0.2">
      <c r="A394" s="14">
        <v>394</v>
      </c>
      <c r="B394" s="418" t="s">
        <v>805</v>
      </c>
      <c r="C394" s="203"/>
      <c r="D394" s="176"/>
      <c r="E394" s="176"/>
      <c r="F394" s="176"/>
      <c r="G394" s="176"/>
      <c r="H394" s="176"/>
      <c r="I394" s="176"/>
      <c r="J394" s="176"/>
      <c r="K394" s="176"/>
      <c r="L394" s="176"/>
      <c r="M394" s="176"/>
      <c r="N394" s="176"/>
      <c r="O394" s="176"/>
      <c r="P394" s="176"/>
    </row>
    <row r="395" spans="1:16" x14ac:dyDescent="0.2">
      <c r="A395" s="14">
        <v>395</v>
      </c>
      <c r="G395" s="84"/>
      <c r="H395" s="84"/>
    </row>
    <row r="396" spans="1:16" x14ac:dyDescent="0.2">
      <c r="A396" s="14">
        <v>396</v>
      </c>
      <c r="D396" s="201"/>
      <c r="E396" s="390"/>
      <c r="F396" s="382"/>
      <c r="H396" s="201"/>
      <c r="I396" s="18" t="s">
        <v>806</v>
      </c>
      <c r="J396" s="13">
        <f>TOM</f>
        <v>13</v>
      </c>
    </row>
    <row r="397" spans="1:16" x14ac:dyDescent="0.2">
      <c r="A397" s="14">
        <v>397</v>
      </c>
    </row>
    <row r="398" spans="1:16" x14ac:dyDescent="0.2">
      <c r="A398" s="14">
        <v>398</v>
      </c>
      <c r="D398" s="201"/>
      <c r="E398" s="202"/>
      <c r="I398" s="18" t="s">
        <v>807</v>
      </c>
      <c r="J398" s="13">
        <f>5+IF(DPm&gt;=7,2,0)</f>
        <v>7</v>
      </c>
    </row>
    <row r="399" spans="1:16" x14ac:dyDescent="0.2">
      <c r="A399" s="14">
        <v>399</v>
      </c>
      <c r="B399" s="227" t="s">
        <v>633</v>
      </c>
      <c r="K399" s="84"/>
    </row>
    <row r="400" spans="1:16" x14ac:dyDescent="0.2">
      <c r="A400" s="14">
        <v>400</v>
      </c>
      <c r="B400" s="227" t="s">
        <v>634</v>
      </c>
      <c r="G400" s="14" t="s">
        <v>635</v>
      </c>
      <c r="J400" s="14" t="s">
        <v>36</v>
      </c>
      <c r="K400" s="14" t="s">
        <v>36</v>
      </c>
    </row>
    <row r="401" spans="1:16" x14ac:dyDescent="0.2">
      <c r="A401" s="14">
        <v>401</v>
      </c>
      <c r="B401" s="14" t="s">
        <v>54</v>
      </c>
      <c r="D401" s="14" t="s">
        <v>808</v>
      </c>
      <c r="E401" s="14" t="s">
        <v>809</v>
      </c>
      <c r="G401" s="14" t="s">
        <v>43</v>
      </c>
      <c r="H401" s="14" t="s">
        <v>636</v>
      </c>
      <c r="J401" s="14" t="s">
        <v>808</v>
      </c>
      <c r="K401" s="14" t="s">
        <v>809</v>
      </c>
    </row>
    <row r="402" spans="1:16" x14ac:dyDescent="0.2">
      <c r="A402" s="14">
        <v>402</v>
      </c>
      <c r="B402" s="256">
        <f>ANTIG!I9</f>
        <v>12</v>
      </c>
      <c r="D402" s="13">
        <f>2+IF(B402&gt;=5,1,0)+IF(B402&gt;=9,1,0)</f>
        <v>4</v>
      </c>
      <c r="E402" s="13">
        <f>4+IF(B402&gt;=7,2,0)</f>
        <v>6</v>
      </c>
      <c r="G402" s="230">
        <f>'DIST-PRS'!E8</f>
        <v>9</v>
      </c>
      <c r="H402" s="230">
        <f>ROT!D9</f>
        <v>1</v>
      </c>
      <c r="J402" s="13">
        <f>(D402*G402*H402)</f>
        <v>36</v>
      </c>
      <c r="K402" s="13">
        <f>(E402*G402*H402)</f>
        <v>54</v>
      </c>
    </row>
    <row r="403" spans="1:16" x14ac:dyDescent="0.2">
      <c r="A403" s="14">
        <v>403</v>
      </c>
      <c r="B403" s="228">
        <f>ANTIG!I10</f>
        <v>9</v>
      </c>
      <c r="D403" s="13">
        <f>1+IF(B403&gt;=5,1,0)+IF(B403&gt;=9,1,0)</f>
        <v>3</v>
      </c>
      <c r="E403" s="13">
        <f>2+IF(B403&gt;=7,2,0)</f>
        <v>4</v>
      </c>
      <c r="G403" s="230">
        <f>'DIST-PRS'!E9</f>
        <v>30</v>
      </c>
      <c r="H403" s="230">
        <f>ROT!D10</f>
        <v>1</v>
      </c>
      <c r="J403" s="13">
        <f>(D403*G403*H403)</f>
        <v>90</v>
      </c>
      <c r="K403" s="389">
        <f>((G403-J396)*E403*H403)+(J396*J398*H403)</f>
        <v>159</v>
      </c>
    </row>
    <row r="404" spans="1:16" x14ac:dyDescent="0.2">
      <c r="A404" s="14">
        <v>404</v>
      </c>
      <c r="B404" s="228">
        <f>ANTIG!I11</f>
        <v>6</v>
      </c>
      <c r="D404" s="13">
        <f>1+IF(B404&gt;=5,1,0)+IF(B404&gt;=9,1,0)</f>
        <v>2</v>
      </c>
      <c r="E404" s="13">
        <f>3+IF(B404&gt;=7,2,0)</f>
        <v>3</v>
      </c>
      <c r="G404" s="230">
        <f>'DIST-PRS'!E10</f>
        <v>8</v>
      </c>
      <c r="H404" s="230">
        <f>ROT!D11</f>
        <v>2</v>
      </c>
      <c r="J404" s="13">
        <f>(D404*G404*H404)</f>
        <v>32</v>
      </c>
      <c r="K404" s="13">
        <f>(E404*G404*H404)</f>
        <v>48</v>
      </c>
    </row>
    <row r="405" spans="1:16" x14ac:dyDescent="0.2">
      <c r="A405" s="14">
        <v>405</v>
      </c>
      <c r="B405" s="228">
        <f>ANTIG!I12</f>
        <v>4</v>
      </c>
      <c r="C405" s="84"/>
      <c r="D405" s="13">
        <f>2+IF(B405&gt;=5,1,0)+IF(B405&gt;=9,1,0)</f>
        <v>2</v>
      </c>
      <c r="E405" s="13">
        <f>3+IF(B405&gt;=7,2,0)</f>
        <v>3</v>
      </c>
      <c r="G405" s="230">
        <f>'DIST-PRS'!E11</f>
        <v>3</v>
      </c>
      <c r="H405" s="230">
        <f>ROT!D12</f>
        <v>3</v>
      </c>
      <c r="J405" s="13">
        <f>(D405*G405*H405)</f>
        <v>18</v>
      </c>
      <c r="K405" s="13">
        <f>(E405*G405*H405)</f>
        <v>27</v>
      </c>
    </row>
    <row r="406" spans="1:16" x14ac:dyDescent="0.2">
      <c r="A406" s="14">
        <v>406</v>
      </c>
      <c r="C406" s="84"/>
      <c r="D406" s="84"/>
      <c r="E406" s="84"/>
      <c r="G406" s="216">
        <f>SUM(G402:G405)</f>
        <v>50</v>
      </c>
      <c r="I406" s="84"/>
      <c r="J406" s="336">
        <f>SUM(J402:J405)</f>
        <v>176</v>
      </c>
      <c r="K406" s="246">
        <f>SUM(K402:K405)</f>
        <v>288</v>
      </c>
    </row>
    <row r="407" spans="1:16" x14ac:dyDescent="0.2">
      <c r="A407" s="14">
        <v>407</v>
      </c>
      <c r="C407" s="84"/>
      <c r="D407" s="201"/>
      <c r="E407" s="387"/>
      <c r="F407" s="84"/>
      <c r="G407" s="290"/>
      <c r="I407" s="387"/>
      <c r="J407" s="84"/>
      <c r="K407" s="84"/>
    </row>
    <row r="408" spans="1:16" x14ac:dyDescent="0.2">
      <c r="A408" s="14">
        <v>408</v>
      </c>
      <c r="C408" s="18" t="s">
        <v>810</v>
      </c>
      <c r="D408" s="197">
        <f>(VARIABLES!C101+VARIABLES!C103+VARIABLES!C105+VARIABLES!C117+VARIABLES!C119+VARIABLES!C111)</f>
        <v>419900</v>
      </c>
      <c r="E408" s="84" t="s">
        <v>506</v>
      </c>
      <c r="G408" s="201" t="s">
        <v>811</v>
      </c>
      <c r="H408" s="51">
        <f>(D408*K406)</f>
        <v>120931200</v>
      </c>
      <c r="I408" s="84" t="s">
        <v>506</v>
      </c>
      <c r="J408" s="84"/>
      <c r="K408" s="84"/>
    </row>
    <row r="409" spans="1:16" x14ac:dyDescent="0.2">
      <c r="A409" s="14">
        <v>409</v>
      </c>
      <c r="C409" s="84"/>
      <c r="D409" s="201"/>
      <c r="E409" s="387"/>
      <c r="G409" s="84"/>
      <c r="H409" s="84"/>
      <c r="I409" s="387"/>
      <c r="J409" s="201" t="s">
        <v>36</v>
      </c>
      <c r="K409" s="51">
        <f>(H408+H410)</f>
        <v>200131200</v>
      </c>
      <c r="L409" s="84" t="s">
        <v>812</v>
      </c>
    </row>
    <row r="410" spans="1:16" x14ac:dyDescent="0.2">
      <c r="A410" s="14">
        <v>410</v>
      </c>
      <c r="C410" s="18" t="s">
        <v>813</v>
      </c>
      <c r="D410" s="197">
        <f>VARIABLES!C99</f>
        <v>450000</v>
      </c>
      <c r="E410" s="84" t="s">
        <v>506</v>
      </c>
      <c r="G410" s="201" t="s">
        <v>811</v>
      </c>
      <c r="H410" s="51">
        <f>(D410*J406)</f>
        <v>79200000</v>
      </c>
      <c r="I410" s="84" t="s">
        <v>506</v>
      </c>
      <c r="J410" s="84"/>
      <c r="K410" s="84"/>
    </row>
    <row r="411" spans="1:16" x14ac:dyDescent="0.2">
      <c r="A411" s="14">
        <v>411</v>
      </c>
      <c r="C411" s="84"/>
      <c r="D411" s="84"/>
      <c r="E411" s="84"/>
      <c r="F411" s="84"/>
      <c r="G411" s="84"/>
      <c r="H411" s="84"/>
      <c r="I411" s="84"/>
      <c r="J411" s="84"/>
      <c r="K411" s="84"/>
    </row>
    <row r="412" spans="1:16" x14ac:dyDescent="0.2">
      <c r="A412" s="14">
        <v>412</v>
      </c>
      <c r="C412" s="84"/>
      <c r="D412" s="84"/>
      <c r="E412" s="84"/>
      <c r="F412" s="84"/>
      <c r="G412" s="84"/>
      <c r="H412" s="84"/>
      <c r="I412" s="84"/>
      <c r="J412" s="84"/>
      <c r="K412" s="84"/>
    </row>
    <row r="413" spans="1:16" x14ac:dyDescent="0.2">
      <c r="A413" s="14">
        <v>413</v>
      </c>
      <c r="F413" s="298" t="s">
        <v>762</v>
      </c>
      <c r="G413" s="321">
        <f>(K409/TDT)/SBP</f>
        <v>547.03</v>
      </c>
      <c r="H413" s="289" t="s">
        <v>574</v>
      </c>
    </row>
    <row r="414" spans="1:16" x14ac:dyDescent="0.2">
      <c r="A414" s="14">
        <v>414</v>
      </c>
    </row>
    <row r="415" spans="1:16" x14ac:dyDescent="0.2">
      <c r="A415" s="14">
        <v>415</v>
      </c>
      <c r="B415" s="418" t="s">
        <v>814</v>
      </c>
      <c r="C415" s="203"/>
      <c r="D415" s="176"/>
      <c r="E415" s="176"/>
      <c r="F415" s="176"/>
      <c r="G415" s="176"/>
      <c r="H415" s="176"/>
      <c r="I415" s="176"/>
      <c r="J415" s="176"/>
      <c r="K415" s="176"/>
      <c r="L415" s="176"/>
      <c r="M415" s="176"/>
      <c r="N415" s="176"/>
      <c r="O415" s="176"/>
      <c r="P415" s="176"/>
    </row>
    <row r="416" spans="1:16" x14ac:dyDescent="0.2">
      <c r="A416" s="14">
        <v>416</v>
      </c>
    </row>
    <row r="417" spans="1:16" x14ac:dyDescent="0.2">
      <c r="A417" s="14">
        <v>417</v>
      </c>
      <c r="F417" s="18" t="s">
        <v>815</v>
      </c>
      <c r="G417" s="13">
        <f>(FCAS!D27+FCAS!E27+FCAS!F27)</f>
        <v>1</v>
      </c>
      <c r="H417" t="s">
        <v>43</v>
      </c>
    </row>
    <row r="418" spans="1:16" x14ac:dyDescent="0.2">
      <c r="A418" s="14">
        <v>418</v>
      </c>
    </row>
    <row r="419" spans="1:16" x14ac:dyDescent="0.2">
      <c r="A419" s="14">
        <v>419</v>
      </c>
      <c r="F419" s="18" t="s">
        <v>816</v>
      </c>
      <c r="G419" s="13">
        <f>IF(DPm&gt;=8,3,IF(DPm&gt;=4,2,1))</f>
        <v>3</v>
      </c>
      <c r="H419" t="s">
        <v>43</v>
      </c>
      <c r="I419" s="18" t="s">
        <v>762</v>
      </c>
      <c r="J419" s="51">
        <f>(VARIABLES!C124+VARIABLES!C126+VARIABLES!C128+VARIABLES!C132+VARIABLES!C134)</f>
        <v>1383000</v>
      </c>
      <c r="K419" t="s">
        <v>506</v>
      </c>
    </row>
    <row r="420" spans="1:16" x14ac:dyDescent="0.2">
      <c r="A420" s="14">
        <v>420</v>
      </c>
    </row>
    <row r="421" spans="1:16" x14ac:dyDescent="0.2">
      <c r="A421" s="14">
        <v>421</v>
      </c>
      <c r="F421" s="18" t="s">
        <v>817</v>
      </c>
      <c r="G421" s="13">
        <f>IF(DPm&gt;=6,2,1)</f>
        <v>2</v>
      </c>
      <c r="H421" t="s">
        <v>43</v>
      </c>
      <c r="I421" s="18" t="s">
        <v>762</v>
      </c>
      <c r="J421" s="51">
        <f>VARIABLES!C130</f>
        <v>400000</v>
      </c>
      <c r="K421" t="s">
        <v>506</v>
      </c>
    </row>
    <row r="422" spans="1:16" x14ac:dyDescent="0.2">
      <c r="A422" s="14">
        <v>422</v>
      </c>
    </row>
    <row r="423" spans="1:16" x14ac:dyDescent="0.2">
      <c r="A423" s="14">
        <v>423</v>
      </c>
      <c r="F423" s="298" t="s">
        <v>762</v>
      </c>
      <c r="G423" s="321">
        <f>(((G417*G419*J419)+(G417*G421*J421))/TDT)/SBP</f>
        <v>13.53</v>
      </c>
      <c r="H423" s="289" t="s">
        <v>574</v>
      </c>
    </row>
    <row r="424" spans="1:16" x14ac:dyDescent="0.2">
      <c r="A424" s="14">
        <v>424</v>
      </c>
    </row>
    <row r="425" spans="1:16" x14ac:dyDescent="0.2">
      <c r="A425" s="14">
        <v>425</v>
      </c>
      <c r="B425" s="418" t="s">
        <v>818</v>
      </c>
      <c r="C425" s="203"/>
      <c r="D425" s="176"/>
      <c r="E425" s="176"/>
      <c r="F425" s="176"/>
      <c r="G425" s="176"/>
      <c r="H425" s="176"/>
      <c r="I425" s="176"/>
      <c r="J425" s="176"/>
      <c r="K425" s="176"/>
      <c r="L425" s="176"/>
      <c r="M425" s="176"/>
      <c r="N425" s="176"/>
      <c r="O425" s="176"/>
      <c r="P425" s="176"/>
    </row>
    <row r="426" spans="1:16" x14ac:dyDescent="0.2">
      <c r="A426" s="14">
        <v>426</v>
      </c>
    </row>
    <row r="427" spans="1:16" x14ac:dyDescent="0.2">
      <c r="A427" s="14">
        <v>427</v>
      </c>
      <c r="C427" s="200" t="s">
        <v>819</v>
      </c>
      <c r="D427" s="391">
        <v>1</v>
      </c>
      <c r="E427" s="161" t="s">
        <v>820</v>
      </c>
      <c r="H427" s="200" t="s">
        <v>712</v>
      </c>
      <c r="I427" s="391">
        <f>IF(TDT&lt;70,1,IF(TDT&lt;140,2,IF(TDT&lt;240,3,IF(TDT&lt;480,4,0))))</f>
        <v>1</v>
      </c>
      <c r="J427" s="4" t="s">
        <v>43</v>
      </c>
    </row>
    <row r="428" spans="1:16" x14ac:dyDescent="0.2">
      <c r="A428" s="14">
        <v>428</v>
      </c>
    </row>
    <row r="429" spans="1:16" x14ac:dyDescent="0.2">
      <c r="A429" s="14">
        <v>429</v>
      </c>
      <c r="B429" s="418" t="s">
        <v>821</v>
      </c>
      <c r="C429" s="203"/>
      <c r="D429" s="176"/>
      <c r="E429" s="176"/>
      <c r="F429" s="176"/>
      <c r="G429" s="176"/>
      <c r="H429" s="176"/>
      <c r="I429" s="176"/>
      <c r="J429" s="176"/>
      <c r="K429" s="176"/>
      <c r="L429" s="176"/>
      <c r="M429" s="176"/>
      <c r="N429" s="176"/>
      <c r="O429" s="176"/>
      <c r="P429" s="176"/>
    </row>
    <row r="430" spans="1:16" x14ac:dyDescent="0.2">
      <c r="A430" s="14">
        <v>430</v>
      </c>
    </row>
    <row r="431" spans="1:16" x14ac:dyDescent="0.2">
      <c r="A431" s="14">
        <v>431</v>
      </c>
      <c r="C431" s="246" t="s">
        <v>822</v>
      </c>
      <c r="D431" s="246" t="s">
        <v>43</v>
      </c>
      <c r="E431" s="246" t="s">
        <v>464</v>
      </c>
      <c r="F431" s="246" t="s">
        <v>506</v>
      </c>
    </row>
    <row r="432" spans="1:16" x14ac:dyDescent="0.2">
      <c r="A432" s="14">
        <v>432</v>
      </c>
      <c r="B432" s="392" t="s">
        <v>823</v>
      </c>
      <c r="C432" s="177">
        <v>4</v>
      </c>
      <c r="D432" s="177">
        <v>3</v>
      </c>
      <c r="E432" s="177">
        <f>ROUNDUP((4*(DPm/12)),0)</f>
        <v>4</v>
      </c>
      <c r="F432" s="393">
        <f>(C432*D432*E432)*SBP</f>
        <v>351213.6</v>
      </c>
      <c r="I432" s="462" t="s">
        <v>824</v>
      </c>
    </row>
    <row r="433" spans="1:6" x14ac:dyDescent="0.2">
      <c r="A433" s="14">
        <v>433</v>
      </c>
      <c r="B433" s="392" t="s">
        <v>825</v>
      </c>
      <c r="C433" s="177">
        <v>4</v>
      </c>
      <c r="D433" s="177">
        <v>1</v>
      </c>
      <c r="E433" s="177">
        <f>ROUNDUP(((1/3)*(DPm/12)),0)</f>
        <v>1</v>
      </c>
      <c r="F433" s="393">
        <f>(C433*D433*E433)*SBP</f>
        <v>29267.8</v>
      </c>
    </row>
    <row r="434" spans="1:6" x14ac:dyDescent="0.2">
      <c r="A434" s="14">
        <v>434</v>
      </c>
      <c r="B434" s="392" t="s">
        <v>826</v>
      </c>
      <c r="C434" s="177">
        <v>4</v>
      </c>
      <c r="D434" s="177">
        <v>1</v>
      </c>
      <c r="E434" s="177">
        <f>ROUNDUP(((1/3)*(DPm/12)),0)</f>
        <v>1</v>
      </c>
      <c r="F434" s="393">
        <f>(C434*D434*E434)*SBP</f>
        <v>29267.8</v>
      </c>
    </row>
    <row r="435" spans="1:6" x14ac:dyDescent="0.2">
      <c r="A435" s="14">
        <v>435</v>
      </c>
      <c r="B435" s="392"/>
      <c r="C435" s="196"/>
      <c r="D435" s="196"/>
      <c r="E435" s="196"/>
      <c r="F435" s="321">
        <f>SUM(F432:F434)</f>
        <v>409749.2</v>
      </c>
    </row>
    <row r="436" spans="1:6" x14ac:dyDescent="0.2">
      <c r="A436" s="14">
        <v>436</v>
      </c>
    </row>
    <row r="437" spans="1:6" x14ac:dyDescent="0.2">
      <c r="A437" s="14">
        <v>437</v>
      </c>
    </row>
  </sheetData>
  <mergeCells count="2">
    <mergeCell ref="I218:K218"/>
    <mergeCell ref="I234:K23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>
    <tabColor indexed="53"/>
  </sheetPr>
  <dimension ref="A1:G13"/>
  <sheetViews>
    <sheetView showGridLines="0" workbookViewId="0"/>
  </sheetViews>
  <sheetFormatPr baseColWidth="10" defaultRowHeight="11.25" x14ac:dyDescent="0.2"/>
  <cols>
    <col min="1" max="1" width="12" style="14"/>
  </cols>
  <sheetData>
    <row r="1" spans="1:7" s="14" customForma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</row>
    <row r="2" spans="1:7" x14ac:dyDescent="0.2">
      <c r="A2" s="14">
        <v>2</v>
      </c>
    </row>
    <row r="3" spans="1:7" x14ac:dyDescent="0.2">
      <c r="A3" s="14">
        <v>3</v>
      </c>
      <c r="C3" s="185" t="s">
        <v>827</v>
      </c>
      <c r="D3" s="203"/>
      <c r="E3" s="176"/>
      <c r="F3" s="488"/>
      <c r="G3" s="488"/>
    </row>
    <row r="4" spans="1:7" x14ac:dyDescent="0.2">
      <c r="A4" s="14">
        <v>4</v>
      </c>
    </row>
    <row r="5" spans="1:7" x14ac:dyDescent="0.2">
      <c r="A5" s="14">
        <v>5</v>
      </c>
    </row>
    <row r="6" spans="1:7" x14ac:dyDescent="0.2">
      <c r="A6" s="14">
        <v>6</v>
      </c>
      <c r="C6" s="227" t="s">
        <v>633</v>
      </c>
    </row>
    <row r="7" spans="1:7" x14ac:dyDescent="0.2">
      <c r="A7" s="14">
        <v>7</v>
      </c>
      <c r="C7" s="227" t="s">
        <v>634</v>
      </c>
    </row>
    <row r="8" spans="1:7" x14ac:dyDescent="0.2">
      <c r="A8" s="14">
        <v>8</v>
      </c>
      <c r="C8" s="14" t="s">
        <v>54</v>
      </c>
      <c r="D8" s="14" t="s">
        <v>636</v>
      </c>
    </row>
    <row r="9" spans="1:7" x14ac:dyDescent="0.2">
      <c r="A9" s="14">
        <v>9</v>
      </c>
      <c r="C9" s="228">
        <f>ANTIG!I9</f>
        <v>12</v>
      </c>
      <c r="D9" s="230">
        <f>ROUND((FCAS!$F$60/C9),0)</f>
        <v>1</v>
      </c>
    </row>
    <row r="10" spans="1:7" x14ac:dyDescent="0.2">
      <c r="A10" s="14">
        <v>10</v>
      </c>
      <c r="C10" s="228">
        <f>ANTIG!I10</f>
        <v>9</v>
      </c>
      <c r="D10" s="230">
        <f>ROUND((FCAS!$F$60/C10),0)</f>
        <v>1</v>
      </c>
    </row>
    <row r="11" spans="1:7" x14ac:dyDescent="0.2">
      <c r="A11" s="14">
        <v>11</v>
      </c>
      <c r="C11" s="228">
        <f>ANTIG!I11</f>
        <v>6</v>
      </c>
      <c r="D11" s="230">
        <f>ROUND((FCAS!$F$60/C11),0)</f>
        <v>2</v>
      </c>
    </row>
    <row r="12" spans="1:7" x14ac:dyDescent="0.2">
      <c r="A12" s="14">
        <v>12</v>
      </c>
      <c r="C12" s="228">
        <f>ANTIG!I12</f>
        <v>4</v>
      </c>
      <c r="D12" s="230">
        <f>ROUND((FCAS!$F$60/C12),0)</f>
        <v>3</v>
      </c>
    </row>
    <row r="13" spans="1:7" x14ac:dyDescent="0.2">
      <c r="A13" s="14">
        <v>13</v>
      </c>
      <c r="C13" s="161"/>
      <c r="D13" s="233"/>
    </row>
  </sheetData>
  <phoneticPr fontId="1" type="noConversion"/>
  <pageMargins left="0.75" right="0.75" top="1" bottom="1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>
    <tabColor indexed="14"/>
  </sheetPr>
  <dimension ref="A1:F13"/>
  <sheetViews>
    <sheetView showGridLines="0" workbookViewId="0"/>
  </sheetViews>
  <sheetFormatPr baseColWidth="10" defaultRowHeight="11.25" x14ac:dyDescent="0.2"/>
  <cols>
    <col min="1" max="1" width="12" style="14"/>
  </cols>
  <sheetData>
    <row r="1" spans="1:6" s="14" customForma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</row>
    <row r="2" spans="1:6" x14ac:dyDescent="0.2">
      <c r="A2" s="14">
        <v>2</v>
      </c>
    </row>
    <row r="3" spans="1:6" x14ac:dyDescent="0.2">
      <c r="A3" s="14">
        <v>3</v>
      </c>
      <c r="C3" s="185" t="s">
        <v>828</v>
      </c>
      <c r="D3" s="203"/>
      <c r="E3" s="487"/>
      <c r="F3" s="488"/>
    </row>
    <row r="4" spans="1:6" x14ac:dyDescent="0.2">
      <c r="A4" s="14">
        <v>4</v>
      </c>
    </row>
    <row r="5" spans="1:6" x14ac:dyDescent="0.2">
      <c r="A5" s="14">
        <v>5</v>
      </c>
      <c r="C5" s="227" t="s">
        <v>633</v>
      </c>
      <c r="D5" s="227" t="s">
        <v>829</v>
      </c>
    </row>
    <row r="6" spans="1:6" x14ac:dyDescent="0.2">
      <c r="A6" s="14">
        <v>6</v>
      </c>
      <c r="C6" s="227" t="s">
        <v>634</v>
      </c>
      <c r="D6" s="227" t="s">
        <v>43</v>
      </c>
      <c r="E6" s="14" t="s">
        <v>635</v>
      </c>
    </row>
    <row r="7" spans="1:6" x14ac:dyDescent="0.2">
      <c r="A7" s="14">
        <v>7</v>
      </c>
      <c r="C7" s="14" t="s">
        <v>54</v>
      </c>
      <c r="D7" s="227" t="s">
        <v>830</v>
      </c>
      <c r="E7" s="14" t="s">
        <v>43</v>
      </c>
    </row>
    <row r="8" spans="1:6" x14ac:dyDescent="0.2">
      <c r="A8" s="14">
        <v>8</v>
      </c>
      <c r="C8" s="228">
        <f>ANTIG!I9</f>
        <v>12</v>
      </c>
      <c r="D8" s="229">
        <f>(FCAS!G54/TDT)</f>
        <v>0.18</v>
      </c>
      <c r="E8" s="230">
        <f>ROUNDUP((D8*TDT),0)</f>
        <v>9</v>
      </c>
    </row>
    <row r="9" spans="1:6" x14ac:dyDescent="0.2">
      <c r="A9" s="14">
        <v>9</v>
      </c>
      <c r="C9" s="228">
        <f>ANTIG!I10</f>
        <v>9</v>
      </c>
      <c r="D9" s="231">
        <f>ROUNDDOWN(((TDT-FCAS!G54)*0.75),0)/TDT</f>
        <v>0.6</v>
      </c>
      <c r="E9" s="230">
        <f>ROUNDUP((D9*TDT),0)</f>
        <v>30</v>
      </c>
    </row>
    <row r="10" spans="1:6" x14ac:dyDescent="0.2">
      <c r="A10" s="14">
        <v>10</v>
      </c>
      <c r="C10" s="228">
        <f>ANTIG!I11</f>
        <v>6</v>
      </c>
      <c r="D10" s="231">
        <f>ROUNDDOWN(((TDT-FCAS!G54)*0.2),0)/TDT</f>
        <v>0.16</v>
      </c>
      <c r="E10" s="230">
        <f>ROUNDUP((D10*TDT),0)</f>
        <v>8</v>
      </c>
    </row>
    <row r="11" spans="1:6" x14ac:dyDescent="0.2">
      <c r="A11" s="14">
        <v>11</v>
      </c>
      <c r="C11" s="228">
        <f>ANTIG!I12</f>
        <v>4</v>
      </c>
      <c r="D11" s="231">
        <f>1-(D8+D9+D10)</f>
        <v>0.06</v>
      </c>
      <c r="E11" s="230">
        <f>ROUNDUP((D11*TDT),0)</f>
        <v>3</v>
      </c>
    </row>
    <row r="12" spans="1:6" x14ac:dyDescent="0.2">
      <c r="A12" s="14">
        <v>12</v>
      </c>
      <c r="C12" s="200" t="s">
        <v>831</v>
      </c>
      <c r="D12" s="232">
        <f>SUM(D8:D11)</f>
        <v>1</v>
      </c>
      <c r="E12" s="216">
        <f>SUM(E8:E11)</f>
        <v>50</v>
      </c>
    </row>
    <row r="13" spans="1:6" x14ac:dyDescent="0.2">
      <c r="A13" s="14">
        <v>13</v>
      </c>
      <c r="E13" s="14"/>
    </row>
  </sheetData>
  <phoneticPr fontId="1" type="noConversion"/>
  <pageMargins left="0.75" right="0.75" top="1" bottom="1" header="0" footer="0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FCAS</vt:lpstr>
      <vt:lpstr>FCAS-PROXY</vt:lpstr>
      <vt:lpstr>VARIABLES</vt:lpstr>
      <vt:lpstr>TABSAL</vt:lpstr>
      <vt:lpstr>TABLAS</vt:lpstr>
      <vt:lpstr>PERIODOS</vt:lpstr>
      <vt:lpstr>CALCULOS</vt:lpstr>
      <vt:lpstr>ROT</vt:lpstr>
      <vt:lpstr>DIST-PRS</vt:lpstr>
      <vt:lpstr>ANTIG</vt:lpstr>
      <vt:lpstr>FERIADOS</vt:lpstr>
      <vt:lpstr>CALENDARIOS</vt:lpstr>
      <vt:lpstr>BONOHIJOS</vt:lpstr>
      <vt:lpstr>BONOMATRI</vt:lpstr>
      <vt:lpstr>BVACACION</vt:lpstr>
      <vt:lpstr>DPm</vt:lpstr>
      <vt:lpstr>DPsem</vt:lpstr>
      <vt:lpstr>FCASP</vt:lpstr>
      <vt:lpstr>FCC1</vt:lpstr>
      <vt:lpstr>FCC2</vt:lpstr>
      <vt:lpstr>FCC3</vt:lpstr>
      <vt:lpstr>FFPROY</vt:lpstr>
      <vt:lpstr>FFPROYR</vt:lpstr>
      <vt:lpstr>FIPROY</vt:lpstr>
      <vt:lpstr>FIPROYR</vt:lpstr>
      <vt:lpstr>JEXTRA</vt:lpstr>
      <vt:lpstr>PUNTUAL</vt:lpstr>
      <vt:lpstr>SBP</vt:lpstr>
      <vt:lpstr>SMN</vt:lpstr>
      <vt:lpstr>TDET</vt:lpstr>
      <vt:lpstr>TDLL</vt:lpstr>
      <vt:lpstr>TDP</vt:lpstr>
      <vt:lpstr>TDT</vt:lpstr>
      <vt:lpstr>TESPECIAL</vt:lpstr>
      <vt:lpstr>TOM</vt:lpstr>
      <vt:lpstr>VUT</vt:lpstr>
    </vt:vector>
  </TitlesOfParts>
  <Company>DISTRIBUIDORA 3HP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Gustavo Linares</dc:creator>
  <cp:lastModifiedBy>Ulises Anzola</cp:lastModifiedBy>
  <cp:lastPrinted>2016-09-20T12:23:04Z</cp:lastPrinted>
  <dcterms:created xsi:type="dcterms:W3CDTF">2009-04-21T15:13:43Z</dcterms:created>
  <dcterms:modified xsi:type="dcterms:W3CDTF">2018-01-05T14:39:18Z</dcterms:modified>
</cp:coreProperties>
</file>