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60" windowWidth="19440" windowHeight="7995"/>
  </bookViews>
  <sheets>
    <sheet name="L" sheetId="1" r:id="rId1"/>
    <sheet name="Pre" sheetId="2" r:id="rId2"/>
    <sheet name="Nomina" sheetId="5" r:id="rId3"/>
    <sheet name="BD" sheetId="4" r:id="rId4"/>
  </sheets>
  <definedNames>
    <definedName name="AG">BD!$G$16</definedName>
    <definedName name="Bimestre">BD!$AD$4:$AE$9</definedName>
    <definedName name="DA">BD!$G$8</definedName>
    <definedName name="DN">BD!$G$12</definedName>
    <definedName name="DS">BD!$G$10</definedName>
    <definedName name="ExS">BD!$G$24</definedName>
    <definedName name="Fci">BD!$G$26</definedName>
    <definedName name="FF">BD!$G$5</definedName>
    <definedName name="FI">BD!$G$4</definedName>
    <definedName name="HL">BD!$G$11</definedName>
    <definedName name="Isr">BD!$N$4:$P$14</definedName>
    <definedName name="Pd">BD!$G$18</definedName>
    <definedName name="Pv">BD!$G$17</definedName>
    <definedName name="Sdv">BD!$G$23</definedName>
    <definedName name="SMG">BD!$G$20</definedName>
    <definedName name="Subs">BD!$N$32:$P$42</definedName>
    <definedName name="T_NM">BD!$Z$4:$AB$15</definedName>
    <definedName name="T_NQ">BD!$V$4:$X$27</definedName>
    <definedName name="T_NS">BD!$R$4:$T$55</definedName>
    <definedName name="T_Vac">BD!$A$10:$C$19</definedName>
    <definedName name="Tipo">BD!$A$4:$A$6</definedName>
    <definedName name="Umi">BD!$G$22</definedName>
  </definedNames>
  <calcPr calcId="145621"/>
</workbook>
</file>

<file path=xl/calcChain.xml><?xml version="1.0" encoding="utf-8"?>
<calcChain xmlns="http://schemas.openxmlformats.org/spreadsheetml/2006/main">
  <c r="W21" i="5" l="1"/>
  <c r="CQ4" i="2"/>
  <c r="F15" i="4"/>
  <c r="Z29" i="5"/>
  <c r="X5" i="5"/>
  <c r="X6" i="5"/>
  <c r="X27" i="5" s="1"/>
  <c r="X30" i="5" s="1"/>
  <c r="X7" i="5"/>
  <c r="X8" i="5"/>
  <c r="X9" i="5"/>
  <c r="X10" i="5"/>
  <c r="X11" i="5"/>
  <c r="X12" i="5"/>
  <c r="X13" i="5"/>
  <c r="X14" i="5"/>
  <c r="X15" i="5"/>
  <c r="X16" i="5"/>
  <c r="X17" i="5"/>
  <c r="X18" i="5"/>
  <c r="X19" i="5"/>
  <c r="X20" i="5"/>
  <c r="X21" i="5"/>
  <c r="X22" i="5"/>
  <c r="X23" i="5"/>
  <c r="X24" i="5"/>
  <c r="X4" i="5"/>
  <c r="W5" i="5"/>
  <c r="W6" i="5"/>
  <c r="W7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2" i="5"/>
  <c r="W23" i="5"/>
  <c r="W24" i="5"/>
  <c r="W4" i="5"/>
  <c r="U5" i="5"/>
  <c r="U6" i="5"/>
  <c r="U7" i="5"/>
  <c r="U8" i="5"/>
  <c r="U9" i="5"/>
  <c r="U10" i="5"/>
  <c r="U1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4" i="5"/>
  <c r="Q29" i="5"/>
  <c r="AB29" i="5" l="1"/>
  <c r="U27" i="5"/>
  <c r="U30" i="5" s="1"/>
  <c r="W27" i="5"/>
  <c r="W30" i="5" s="1"/>
  <c r="B5" i="5" l="1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4" i="5"/>
  <c r="B4" i="2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4" i="5"/>
  <c r="A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4" i="2"/>
  <c r="B27" i="5" l="1"/>
  <c r="CU5" i="2"/>
  <c r="CV5" i="2" s="1"/>
  <c r="CU6" i="2"/>
  <c r="CV6" i="2" s="1"/>
  <c r="CU7" i="2"/>
  <c r="CV7" i="2" s="1"/>
  <c r="CU8" i="2"/>
  <c r="CV8" i="2" s="1"/>
  <c r="CU9" i="2"/>
  <c r="CV9" i="2" s="1"/>
  <c r="CU10" i="2"/>
  <c r="CV10" i="2" s="1"/>
  <c r="CU11" i="2"/>
  <c r="CV11" i="2" s="1"/>
  <c r="CU12" i="2"/>
  <c r="CV12" i="2" s="1"/>
  <c r="CU13" i="2"/>
  <c r="CV13" i="2" s="1"/>
  <c r="CU14" i="2"/>
  <c r="CV14" i="2" s="1"/>
  <c r="CU15" i="2"/>
  <c r="CV15" i="2" s="1"/>
  <c r="CU16" i="2"/>
  <c r="CV16" i="2" s="1"/>
  <c r="CU17" i="2"/>
  <c r="CV17" i="2" s="1"/>
  <c r="CU18" i="2"/>
  <c r="CV18" i="2" s="1"/>
  <c r="CU19" i="2"/>
  <c r="CV19" i="2" s="1"/>
  <c r="CU20" i="2"/>
  <c r="CV20" i="2" s="1"/>
  <c r="CU21" i="2"/>
  <c r="CV21" i="2" s="1"/>
  <c r="CU22" i="2"/>
  <c r="CV22" i="2" s="1"/>
  <c r="CU23" i="2"/>
  <c r="CV23" i="2" s="1"/>
  <c r="CU24" i="2"/>
  <c r="CV24" i="2" s="1"/>
  <c r="CU4" i="2"/>
  <c r="CV4" i="2" s="1"/>
  <c r="CS5" i="2"/>
  <c r="CT5" i="2" s="1"/>
  <c r="CS6" i="2"/>
  <c r="CT6" i="2" s="1"/>
  <c r="CS7" i="2"/>
  <c r="CT7" i="2" s="1"/>
  <c r="CS8" i="2"/>
  <c r="CT8" i="2" s="1"/>
  <c r="CS9" i="2"/>
  <c r="CT9" i="2" s="1"/>
  <c r="CS10" i="2"/>
  <c r="CT10" i="2" s="1"/>
  <c r="CS11" i="2"/>
  <c r="CT11" i="2" s="1"/>
  <c r="CS12" i="2"/>
  <c r="CT12" i="2" s="1"/>
  <c r="CS13" i="2"/>
  <c r="CT13" i="2" s="1"/>
  <c r="CS14" i="2"/>
  <c r="CT14" i="2" s="1"/>
  <c r="CS15" i="2"/>
  <c r="CT15" i="2" s="1"/>
  <c r="CS16" i="2"/>
  <c r="CT16" i="2" s="1"/>
  <c r="CS17" i="2"/>
  <c r="CT17" i="2" s="1"/>
  <c r="CS18" i="2"/>
  <c r="CT18" i="2" s="1"/>
  <c r="CS19" i="2"/>
  <c r="CT19" i="2" s="1"/>
  <c r="CS20" i="2"/>
  <c r="CT20" i="2" s="1"/>
  <c r="CS21" i="2"/>
  <c r="CT21" i="2" s="1"/>
  <c r="CS22" i="2"/>
  <c r="CT22" i="2" s="1"/>
  <c r="CS23" i="2"/>
  <c r="CT23" i="2" s="1"/>
  <c r="CS24" i="2"/>
  <c r="CT24" i="2" s="1"/>
  <c r="CS4" i="2"/>
  <c r="CT4" i="2" s="1"/>
  <c r="CQ5" i="2" l="1"/>
  <c r="CR5" i="2" s="1"/>
  <c r="CW5" i="2" s="1"/>
  <c r="V5" i="5" s="1"/>
  <c r="CQ6" i="2"/>
  <c r="CR6" i="2" s="1"/>
  <c r="CW6" i="2" s="1"/>
  <c r="V6" i="5" s="1"/>
  <c r="CQ7" i="2"/>
  <c r="CR7" i="2" s="1"/>
  <c r="CW7" i="2" s="1"/>
  <c r="V7" i="5" s="1"/>
  <c r="CQ8" i="2"/>
  <c r="CR8" i="2" s="1"/>
  <c r="CW8" i="2" s="1"/>
  <c r="V8" i="5" s="1"/>
  <c r="CQ9" i="2"/>
  <c r="CR9" i="2" s="1"/>
  <c r="CW9" i="2" s="1"/>
  <c r="V9" i="5" s="1"/>
  <c r="CQ10" i="2"/>
  <c r="CR10" i="2" s="1"/>
  <c r="CW10" i="2" s="1"/>
  <c r="V10" i="5" s="1"/>
  <c r="CQ11" i="2"/>
  <c r="CR11" i="2" s="1"/>
  <c r="CW11" i="2" s="1"/>
  <c r="V11" i="5" s="1"/>
  <c r="CQ12" i="2"/>
  <c r="CR12" i="2" s="1"/>
  <c r="CW12" i="2" s="1"/>
  <c r="V12" i="5" s="1"/>
  <c r="CQ13" i="2"/>
  <c r="CR13" i="2" s="1"/>
  <c r="CW13" i="2" s="1"/>
  <c r="V13" i="5" s="1"/>
  <c r="CQ14" i="2"/>
  <c r="CR14" i="2" s="1"/>
  <c r="CW14" i="2" s="1"/>
  <c r="V14" i="5" s="1"/>
  <c r="CQ15" i="2"/>
  <c r="CR15" i="2" s="1"/>
  <c r="CW15" i="2" s="1"/>
  <c r="V15" i="5" s="1"/>
  <c r="CQ16" i="2"/>
  <c r="CR16" i="2" s="1"/>
  <c r="CW16" i="2" s="1"/>
  <c r="V16" i="5" s="1"/>
  <c r="CQ17" i="2"/>
  <c r="CR17" i="2" s="1"/>
  <c r="CW17" i="2" s="1"/>
  <c r="V17" i="5" s="1"/>
  <c r="CQ18" i="2"/>
  <c r="CR18" i="2" s="1"/>
  <c r="CW18" i="2" s="1"/>
  <c r="V18" i="5" s="1"/>
  <c r="CQ19" i="2"/>
  <c r="CR19" i="2" s="1"/>
  <c r="CW19" i="2" s="1"/>
  <c r="V19" i="5" s="1"/>
  <c r="CQ20" i="2"/>
  <c r="CR20" i="2" s="1"/>
  <c r="CW20" i="2" s="1"/>
  <c r="V20" i="5" s="1"/>
  <c r="CQ21" i="2"/>
  <c r="CR21" i="2" s="1"/>
  <c r="CW21" i="2" s="1"/>
  <c r="V21" i="5" s="1"/>
  <c r="CQ22" i="2"/>
  <c r="CR22" i="2" s="1"/>
  <c r="CW22" i="2" s="1"/>
  <c r="V22" i="5" s="1"/>
  <c r="CQ23" i="2"/>
  <c r="CR23" i="2" s="1"/>
  <c r="CW23" i="2" s="1"/>
  <c r="V23" i="5" s="1"/>
  <c r="CQ24" i="2"/>
  <c r="CR24" i="2" s="1"/>
  <c r="CW24" i="2" s="1"/>
  <c r="V24" i="5" s="1"/>
  <c r="AE9" i="4"/>
  <c r="AE8" i="4"/>
  <c r="AE7" i="4"/>
  <c r="AE6" i="4"/>
  <c r="AE5" i="4"/>
  <c r="AE4" i="4"/>
  <c r="G24" i="4" l="1"/>
  <c r="CN1" i="2"/>
  <c r="CM1" i="2"/>
  <c r="CL1" i="2"/>
  <c r="CK1" i="2"/>
  <c r="CJ1" i="2"/>
  <c r="AY5" i="2"/>
  <c r="AX5" i="2" s="1"/>
  <c r="BR5" i="2" s="1"/>
  <c r="AY6" i="2"/>
  <c r="AX6" i="2" s="1"/>
  <c r="BR6" i="2" s="1"/>
  <c r="AY7" i="2"/>
  <c r="AX7" i="2" s="1"/>
  <c r="BR7" i="2" s="1"/>
  <c r="AY8" i="2"/>
  <c r="AX8" i="2" s="1"/>
  <c r="BR8" i="2" s="1"/>
  <c r="AY9" i="2"/>
  <c r="AX9" i="2" s="1"/>
  <c r="BR9" i="2" s="1"/>
  <c r="AY10" i="2"/>
  <c r="AX10" i="2" s="1"/>
  <c r="BR10" i="2" s="1"/>
  <c r="AY11" i="2"/>
  <c r="AX11" i="2" s="1"/>
  <c r="BR11" i="2" s="1"/>
  <c r="AY12" i="2"/>
  <c r="AX12" i="2" s="1"/>
  <c r="BR12" i="2" s="1"/>
  <c r="AY13" i="2"/>
  <c r="AX13" i="2" s="1"/>
  <c r="BR13" i="2" s="1"/>
  <c r="AY14" i="2"/>
  <c r="AX14" i="2" s="1"/>
  <c r="BR14" i="2" s="1"/>
  <c r="AY15" i="2"/>
  <c r="AX15" i="2" s="1"/>
  <c r="BR15" i="2" s="1"/>
  <c r="AY16" i="2"/>
  <c r="AX16" i="2" s="1"/>
  <c r="BR16" i="2" s="1"/>
  <c r="AY17" i="2"/>
  <c r="AX17" i="2" s="1"/>
  <c r="BR17" i="2" s="1"/>
  <c r="AY18" i="2"/>
  <c r="AX18" i="2" s="1"/>
  <c r="BR18" i="2" s="1"/>
  <c r="AY19" i="2"/>
  <c r="AX19" i="2" s="1"/>
  <c r="BR19" i="2" s="1"/>
  <c r="AY20" i="2"/>
  <c r="AX20" i="2" s="1"/>
  <c r="BR20" i="2" s="1"/>
  <c r="AY21" i="2"/>
  <c r="AX21" i="2" s="1"/>
  <c r="BR21" i="2" s="1"/>
  <c r="AY22" i="2"/>
  <c r="AX22" i="2" s="1"/>
  <c r="BR22" i="2" s="1"/>
  <c r="AY23" i="2"/>
  <c r="AX23" i="2" s="1"/>
  <c r="BR23" i="2" s="1"/>
  <c r="AY24" i="2"/>
  <c r="AX24" i="2" s="1"/>
  <c r="BR24" i="2" s="1"/>
  <c r="AY4" i="2"/>
  <c r="AX4" i="2" s="1"/>
  <c r="BR4" i="2" s="1"/>
  <c r="BX5" i="2"/>
  <c r="P5" i="5" s="1"/>
  <c r="BX6" i="2"/>
  <c r="P6" i="5" s="1"/>
  <c r="BX7" i="2"/>
  <c r="P7" i="5" s="1"/>
  <c r="BX8" i="2"/>
  <c r="P8" i="5" s="1"/>
  <c r="BX9" i="2"/>
  <c r="P9" i="5" s="1"/>
  <c r="BX10" i="2"/>
  <c r="P10" i="5" s="1"/>
  <c r="BX11" i="2"/>
  <c r="P11" i="5" s="1"/>
  <c r="BX12" i="2"/>
  <c r="P12" i="5" s="1"/>
  <c r="BX13" i="2"/>
  <c r="P13" i="5" s="1"/>
  <c r="BX14" i="2"/>
  <c r="P14" i="5" s="1"/>
  <c r="BX15" i="2"/>
  <c r="P15" i="5" s="1"/>
  <c r="BX16" i="2"/>
  <c r="P16" i="5" s="1"/>
  <c r="BX17" i="2"/>
  <c r="P17" i="5" s="1"/>
  <c r="BX18" i="2"/>
  <c r="P18" i="5" s="1"/>
  <c r="BX19" i="2"/>
  <c r="P19" i="5" s="1"/>
  <c r="BX20" i="2"/>
  <c r="P20" i="5" s="1"/>
  <c r="BX21" i="2"/>
  <c r="P21" i="5" s="1"/>
  <c r="BX22" i="2"/>
  <c r="P22" i="5" s="1"/>
  <c r="BX23" i="2"/>
  <c r="P23" i="5" s="1"/>
  <c r="BX24" i="2"/>
  <c r="P24" i="5" s="1"/>
  <c r="BX4" i="2"/>
  <c r="P4" i="5" s="1"/>
  <c r="BN5" i="2"/>
  <c r="O5" i="5" s="1"/>
  <c r="BN6" i="2"/>
  <c r="O6" i="5" s="1"/>
  <c r="BN7" i="2"/>
  <c r="O7" i="5" s="1"/>
  <c r="BN8" i="2"/>
  <c r="O8" i="5" s="1"/>
  <c r="BN9" i="2"/>
  <c r="O9" i="5" s="1"/>
  <c r="BN10" i="2"/>
  <c r="O10" i="5" s="1"/>
  <c r="BN11" i="2"/>
  <c r="O11" i="5" s="1"/>
  <c r="BN12" i="2"/>
  <c r="O12" i="5" s="1"/>
  <c r="BN13" i="2"/>
  <c r="O13" i="5" s="1"/>
  <c r="BN14" i="2"/>
  <c r="O14" i="5" s="1"/>
  <c r="BN15" i="2"/>
  <c r="O15" i="5" s="1"/>
  <c r="BN16" i="2"/>
  <c r="O16" i="5" s="1"/>
  <c r="BN17" i="2"/>
  <c r="O17" i="5" s="1"/>
  <c r="BN18" i="2"/>
  <c r="O18" i="5" s="1"/>
  <c r="BN19" i="2"/>
  <c r="O19" i="5" s="1"/>
  <c r="BN20" i="2"/>
  <c r="O20" i="5" s="1"/>
  <c r="BN21" i="2"/>
  <c r="O21" i="5" s="1"/>
  <c r="BN22" i="2"/>
  <c r="O22" i="5" s="1"/>
  <c r="BN23" i="2"/>
  <c r="O23" i="5" s="1"/>
  <c r="BN24" i="2"/>
  <c r="O24" i="5" s="1"/>
  <c r="BN4" i="2"/>
  <c r="O4" i="5" s="1"/>
  <c r="BG5" i="2"/>
  <c r="H5" i="5" s="1"/>
  <c r="BH5" i="2"/>
  <c r="BG6" i="2"/>
  <c r="H6" i="5" s="1"/>
  <c r="BH6" i="2"/>
  <c r="BG7" i="2"/>
  <c r="H7" i="5" s="1"/>
  <c r="BH7" i="2"/>
  <c r="BG8" i="2"/>
  <c r="H8" i="5" s="1"/>
  <c r="BH8" i="2"/>
  <c r="BG9" i="2"/>
  <c r="H9" i="5" s="1"/>
  <c r="BH9" i="2"/>
  <c r="BG10" i="2"/>
  <c r="H10" i="5" s="1"/>
  <c r="BH10" i="2"/>
  <c r="BG11" i="2"/>
  <c r="H11" i="5" s="1"/>
  <c r="BH11" i="2"/>
  <c r="BG12" i="2"/>
  <c r="H12" i="5" s="1"/>
  <c r="BH12" i="2"/>
  <c r="BG13" i="2"/>
  <c r="H13" i="5" s="1"/>
  <c r="BH13" i="2"/>
  <c r="BG14" i="2"/>
  <c r="H14" i="5" s="1"/>
  <c r="BH14" i="2"/>
  <c r="BG15" i="2"/>
  <c r="H15" i="5" s="1"/>
  <c r="BH15" i="2"/>
  <c r="BG16" i="2"/>
  <c r="H16" i="5" s="1"/>
  <c r="BH16" i="2"/>
  <c r="BG17" i="2"/>
  <c r="H17" i="5" s="1"/>
  <c r="BH17" i="2"/>
  <c r="BG18" i="2"/>
  <c r="H18" i="5" s="1"/>
  <c r="BH18" i="2"/>
  <c r="BG19" i="2"/>
  <c r="H19" i="5" s="1"/>
  <c r="BH19" i="2"/>
  <c r="BG20" i="2"/>
  <c r="H20" i="5" s="1"/>
  <c r="BH20" i="2"/>
  <c r="BG21" i="2"/>
  <c r="H21" i="5" s="1"/>
  <c r="BH21" i="2"/>
  <c r="BG22" i="2"/>
  <c r="H22" i="5" s="1"/>
  <c r="BH22" i="2"/>
  <c r="BG23" i="2"/>
  <c r="H23" i="5" s="1"/>
  <c r="BH23" i="2"/>
  <c r="BG24" i="2"/>
  <c r="H24" i="5" s="1"/>
  <c r="BH24" i="2"/>
  <c r="BD5" i="2"/>
  <c r="E5" i="5" s="1"/>
  <c r="BD6" i="2"/>
  <c r="E6" i="5" s="1"/>
  <c r="BD7" i="2"/>
  <c r="E7" i="5" s="1"/>
  <c r="BD8" i="2"/>
  <c r="E8" i="5" s="1"/>
  <c r="BD9" i="2"/>
  <c r="E9" i="5" s="1"/>
  <c r="BD10" i="2"/>
  <c r="E10" i="5" s="1"/>
  <c r="BD11" i="2"/>
  <c r="E11" i="5" s="1"/>
  <c r="BD12" i="2"/>
  <c r="E12" i="5" s="1"/>
  <c r="BD13" i="2"/>
  <c r="E13" i="5" s="1"/>
  <c r="BD14" i="2"/>
  <c r="E14" i="5" s="1"/>
  <c r="BD15" i="2"/>
  <c r="E15" i="5" s="1"/>
  <c r="BD16" i="2"/>
  <c r="E16" i="5" s="1"/>
  <c r="BD17" i="2"/>
  <c r="E17" i="5" s="1"/>
  <c r="BD18" i="2"/>
  <c r="E18" i="5" s="1"/>
  <c r="BD19" i="2"/>
  <c r="E19" i="5" s="1"/>
  <c r="BD20" i="2"/>
  <c r="E20" i="5" s="1"/>
  <c r="BD21" i="2"/>
  <c r="E21" i="5" s="1"/>
  <c r="BD22" i="2"/>
  <c r="E22" i="5" s="1"/>
  <c r="BD23" i="2"/>
  <c r="E23" i="5" s="1"/>
  <c r="BD24" i="2"/>
  <c r="E24" i="5" s="1"/>
  <c r="BD4" i="2"/>
  <c r="E4" i="5" s="1"/>
  <c r="AP5" i="2"/>
  <c r="BW5" i="2" s="1"/>
  <c r="AP6" i="2"/>
  <c r="BW6" i="2" s="1"/>
  <c r="AP7" i="2"/>
  <c r="BW7" i="2" s="1"/>
  <c r="AP8" i="2"/>
  <c r="BW8" i="2" s="1"/>
  <c r="AP9" i="2"/>
  <c r="BW9" i="2" s="1"/>
  <c r="AP10" i="2"/>
  <c r="BW10" i="2" s="1"/>
  <c r="AP11" i="2"/>
  <c r="BW11" i="2" s="1"/>
  <c r="AP12" i="2"/>
  <c r="BW12" i="2" s="1"/>
  <c r="AP13" i="2"/>
  <c r="BW13" i="2" s="1"/>
  <c r="AP14" i="2"/>
  <c r="BW14" i="2" s="1"/>
  <c r="AP15" i="2"/>
  <c r="BW15" i="2" s="1"/>
  <c r="AP16" i="2"/>
  <c r="BW16" i="2" s="1"/>
  <c r="AP17" i="2"/>
  <c r="BW17" i="2" s="1"/>
  <c r="AP18" i="2"/>
  <c r="BW18" i="2" s="1"/>
  <c r="AP19" i="2"/>
  <c r="BW19" i="2" s="1"/>
  <c r="AP20" i="2"/>
  <c r="BW20" i="2" s="1"/>
  <c r="AP21" i="2"/>
  <c r="BW21" i="2" s="1"/>
  <c r="AP22" i="2"/>
  <c r="BW22" i="2" s="1"/>
  <c r="AP23" i="2"/>
  <c r="BW23" i="2" s="1"/>
  <c r="AP24" i="2"/>
  <c r="BW24" i="2" s="1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N5" i="2"/>
  <c r="BI5" i="2" s="1"/>
  <c r="AN6" i="2"/>
  <c r="BI6" i="2" s="1"/>
  <c r="AN7" i="2"/>
  <c r="BI7" i="2" s="1"/>
  <c r="AN8" i="2"/>
  <c r="BI8" i="2" s="1"/>
  <c r="AN9" i="2"/>
  <c r="BI9" i="2" s="1"/>
  <c r="AN10" i="2"/>
  <c r="BI10" i="2" s="1"/>
  <c r="AN11" i="2"/>
  <c r="BI11" i="2" s="1"/>
  <c r="AN12" i="2"/>
  <c r="BI12" i="2" s="1"/>
  <c r="AN13" i="2"/>
  <c r="BI13" i="2" s="1"/>
  <c r="AN14" i="2"/>
  <c r="BI14" i="2" s="1"/>
  <c r="AN15" i="2"/>
  <c r="BI15" i="2" s="1"/>
  <c r="AN16" i="2"/>
  <c r="BI16" i="2" s="1"/>
  <c r="AN17" i="2"/>
  <c r="BI17" i="2" s="1"/>
  <c r="AN18" i="2"/>
  <c r="BI18" i="2" s="1"/>
  <c r="AN19" i="2"/>
  <c r="BI19" i="2" s="1"/>
  <c r="AN20" i="2"/>
  <c r="BI20" i="2" s="1"/>
  <c r="AN21" i="2"/>
  <c r="BI21" i="2" s="1"/>
  <c r="AN22" i="2"/>
  <c r="BI22" i="2" s="1"/>
  <c r="AN23" i="2"/>
  <c r="BI23" i="2" s="1"/>
  <c r="AN24" i="2"/>
  <c r="BI24" i="2" s="1"/>
  <c r="AM5" i="2"/>
  <c r="BF5" i="2" s="1"/>
  <c r="G5" i="5" s="1"/>
  <c r="AM6" i="2"/>
  <c r="BF6" i="2" s="1"/>
  <c r="G6" i="5" s="1"/>
  <c r="AM7" i="2"/>
  <c r="BF7" i="2" s="1"/>
  <c r="G7" i="5" s="1"/>
  <c r="AM8" i="2"/>
  <c r="BF8" i="2" s="1"/>
  <c r="G8" i="5" s="1"/>
  <c r="AM9" i="2"/>
  <c r="BF9" i="2" s="1"/>
  <c r="G9" i="5" s="1"/>
  <c r="AM10" i="2"/>
  <c r="BF10" i="2" s="1"/>
  <c r="G10" i="5" s="1"/>
  <c r="AM11" i="2"/>
  <c r="BF11" i="2" s="1"/>
  <c r="G11" i="5" s="1"/>
  <c r="AM12" i="2"/>
  <c r="BF12" i="2" s="1"/>
  <c r="G12" i="5" s="1"/>
  <c r="AM13" i="2"/>
  <c r="BF13" i="2" s="1"/>
  <c r="G13" i="5" s="1"/>
  <c r="AM14" i="2"/>
  <c r="BF14" i="2" s="1"/>
  <c r="G14" i="5" s="1"/>
  <c r="AM15" i="2"/>
  <c r="BF15" i="2" s="1"/>
  <c r="G15" i="5" s="1"/>
  <c r="AM16" i="2"/>
  <c r="BF16" i="2" s="1"/>
  <c r="G16" i="5" s="1"/>
  <c r="AM17" i="2"/>
  <c r="BF17" i="2" s="1"/>
  <c r="G17" i="5" s="1"/>
  <c r="AM18" i="2"/>
  <c r="BF18" i="2" s="1"/>
  <c r="G18" i="5" s="1"/>
  <c r="AM19" i="2"/>
  <c r="BF19" i="2" s="1"/>
  <c r="G19" i="5" s="1"/>
  <c r="AM20" i="2"/>
  <c r="BF20" i="2" s="1"/>
  <c r="G20" i="5" s="1"/>
  <c r="AM21" i="2"/>
  <c r="BF21" i="2" s="1"/>
  <c r="G21" i="5" s="1"/>
  <c r="AM22" i="2"/>
  <c r="BF22" i="2" s="1"/>
  <c r="G22" i="5" s="1"/>
  <c r="AM23" i="2"/>
  <c r="BF23" i="2" s="1"/>
  <c r="G23" i="5" s="1"/>
  <c r="AM24" i="2"/>
  <c r="BF24" i="2" s="1"/>
  <c r="G24" i="5" s="1"/>
  <c r="AM4" i="2"/>
  <c r="BF4" i="2" s="1"/>
  <c r="G4" i="5" s="1"/>
  <c r="A5" i="2"/>
  <c r="B5" i="2"/>
  <c r="A6" i="2"/>
  <c r="B6" i="2"/>
  <c r="A7" i="2"/>
  <c r="H7" i="2" s="1"/>
  <c r="K7" i="2" s="1"/>
  <c r="B7" i="2"/>
  <c r="A8" i="2"/>
  <c r="B8" i="2"/>
  <c r="A9" i="2"/>
  <c r="B9" i="2"/>
  <c r="A10" i="2"/>
  <c r="H10" i="2" s="1"/>
  <c r="K10" i="2" s="1"/>
  <c r="B10" i="2"/>
  <c r="A11" i="2"/>
  <c r="B11" i="2"/>
  <c r="A12" i="2"/>
  <c r="H12" i="2" s="1"/>
  <c r="K12" i="2" s="1"/>
  <c r="B12" i="2"/>
  <c r="A13" i="2"/>
  <c r="H13" i="2" s="1"/>
  <c r="K13" i="2" s="1"/>
  <c r="B13" i="2"/>
  <c r="A14" i="2"/>
  <c r="H14" i="2" s="1"/>
  <c r="K14" i="2" s="1"/>
  <c r="B14" i="2"/>
  <c r="A15" i="2"/>
  <c r="B15" i="2"/>
  <c r="A16" i="2"/>
  <c r="B16" i="2"/>
  <c r="A17" i="2"/>
  <c r="H17" i="2" s="1"/>
  <c r="K17" i="2" s="1"/>
  <c r="B17" i="2"/>
  <c r="A18" i="2"/>
  <c r="H18" i="2" s="1"/>
  <c r="K18" i="2" s="1"/>
  <c r="B18" i="2"/>
  <c r="A19" i="2"/>
  <c r="H19" i="2" s="1"/>
  <c r="K19" i="2" s="1"/>
  <c r="B19" i="2"/>
  <c r="A20" i="2"/>
  <c r="H20" i="2" s="1"/>
  <c r="K20" i="2" s="1"/>
  <c r="B20" i="2"/>
  <c r="A21" i="2"/>
  <c r="B21" i="2"/>
  <c r="A22" i="2"/>
  <c r="H22" i="2" s="1"/>
  <c r="K22" i="2" s="1"/>
  <c r="B22" i="2"/>
  <c r="A23" i="2"/>
  <c r="B23" i="2"/>
  <c r="A24" i="2"/>
  <c r="B24" i="2"/>
  <c r="C4" i="2"/>
  <c r="C5" i="2"/>
  <c r="AI5" i="2" s="1"/>
  <c r="C6" i="2"/>
  <c r="AI6" i="2" s="1"/>
  <c r="C7" i="2"/>
  <c r="AJ7" i="2" s="1"/>
  <c r="C8" i="2"/>
  <c r="AI8" i="2" s="1"/>
  <c r="C9" i="2"/>
  <c r="C10" i="2"/>
  <c r="AJ10" i="2" s="1"/>
  <c r="C11" i="2"/>
  <c r="C12" i="2"/>
  <c r="AJ12" i="2" s="1"/>
  <c r="C13" i="2"/>
  <c r="AJ13" i="2" s="1"/>
  <c r="C14" i="2"/>
  <c r="AJ14" i="2" s="1"/>
  <c r="C15" i="2"/>
  <c r="C16" i="2"/>
  <c r="C17" i="2"/>
  <c r="AJ17" i="2" s="1"/>
  <c r="C18" i="2"/>
  <c r="AJ18" i="2" s="1"/>
  <c r="C19" i="2"/>
  <c r="AJ19" i="2" s="1"/>
  <c r="C20" i="2"/>
  <c r="AJ20" i="2" s="1"/>
  <c r="C21" i="2"/>
  <c r="C22" i="2"/>
  <c r="AJ22" i="2" s="1"/>
  <c r="C23" i="2"/>
  <c r="C24" i="2"/>
  <c r="E27" i="5" l="1"/>
  <c r="E30" i="5" s="1"/>
  <c r="P27" i="5"/>
  <c r="P30" i="5" s="1"/>
  <c r="O27" i="5"/>
  <c r="O30" i="5" s="1"/>
  <c r="I22" i="5"/>
  <c r="I20" i="5"/>
  <c r="I18" i="5"/>
  <c r="I14" i="5"/>
  <c r="I12" i="5"/>
  <c r="I10" i="5"/>
  <c r="I8" i="5"/>
  <c r="I6" i="5"/>
  <c r="I23" i="5"/>
  <c r="I21" i="5"/>
  <c r="I19" i="5"/>
  <c r="I17" i="5"/>
  <c r="I15" i="5"/>
  <c r="I13" i="5"/>
  <c r="I11" i="5"/>
  <c r="I9" i="5"/>
  <c r="I7" i="5"/>
  <c r="I5" i="5"/>
  <c r="I24" i="5"/>
  <c r="G27" i="5"/>
  <c r="G30" i="5" s="1"/>
  <c r="AI24" i="2"/>
  <c r="I16" i="5"/>
  <c r="BS21" i="2"/>
  <c r="J21" i="5" s="1"/>
  <c r="BS13" i="2"/>
  <c r="J13" i="5" s="1"/>
  <c r="BS17" i="2"/>
  <c r="J17" i="5" s="1"/>
  <c r="BS9" i="2"/>
  <c r="J9" i="5" s="1"/>
  <c r="BG4" i="2"/>
  <c r="H4" i="5" s="1"/>
  <c r="H27" i="5" s="1"/>
  <c r="H30" i="5" s="1"/>
  <c r="BS22" i="2"/>
  <c r="J22" i="5" s="1"/>
  <c r="BS18" i="2"/>
  <c r="J18" i="5" s="1"/>
  <c r="BS14" i="2"/>
  <c r="J14" i="5" s="1"/>
  <c r="BS10" i="2"/>
  <c r="J10" i="5" s="1"/>
  <c r="BS6" i="2"/>
  <c r="J6" i="5" s="1"/>
  <c r="BS24" i="2"/>
  <c r="J24" i="5" s="1"/>
  <c r="BS23" i="2"/>
  <c r="J23" i="5" s="1"/>
  <c r="BS20" i="2"/>
  <c r="J20" i="5" s="1"/>
  <c r="BS19" i="2"/>
  <c r="J19" i="5" s="1"/>
  <c r="BS16" i="2"/>
  <c r="J16" i="5" s="1"/>
  <c r="BS15" i="2"/>
  <c r="J15" i="5" s="1"/>
  <c r="BS12" i="2"/>
  <c r="J12" i="5" s="1"/>
  <c r="BS11" i="2"/>
  <c r="J11" i="5" s="1"/>
  <c r="BS8" i="2"/>
  <c r="J8" i="5" s="1"/>
  <c r="BS7" i="2"/>
  <c r="J7" i="5" s="1"/>
  <c r="BS5" i="2"/>
  <c r="J5" i="5" s="1"/>
  <c r="BC22" i="2"/>
  <c r="D22" i="5" s="1"/>
  <c r="BC20" i="2"/>
  <c r="D20" i="5" s="1"/>
  <c r="BC19" i="2"/>
  <c r="D19" i="5" s="1"/>
  <c r="BC18" i="2"/>
  <c r="D18" i="5" s="1"/>
  <c r="BC17" i="2"/>
  <c r="D17" i="5" s="1"/>
  <c r="BC14" i="2"/>
  <c r="D14" i="5" s="1"/>
  <c r="BC13" i="2"/>
  <c r="D13" i="5" s="1"/>
  <c r="BC12" i="2"/>
  <c r="D12" i="5" s="1"/>
  <c r="BC10" i="2"/>
  <c r="D10" i="5" s="1"/>
  <c r="BC7" i="2"/>
  <c r="D7" i="5" s="1"/>
  <c r="AP4" i="2"/>
  <c r="AQ24" i="2"/>
  <c r="BM24" i="2" s="1"/>
  <c r="N24" i="5" s="1"/>
  <c r="AQ22" i="2"/>
  <c r="BM22" i="2" s="1"/>
  <c r="N22" i="5" s="1"/>
  <c r="AQ20" i="2"/>
  <c r="BM20" i="2" s="1"/>
  <c r="N20" i="5" s="1"/>
  <c r="AQ18" i="2"/>
  <c r="BM18" i="2" s="1"/>
  <c r="N18" i="5" s="1"/>
  <c r="AQ16" i="2"/>
  <c r="BM16" i="2" s="1"/>
  <c r="N16" i="5" s="1"/>
  <c r="AQ14" i="2"/>
  <c r="BM14" i="2" s="1"/>
  <c r="N14" i="5" s="1"/>
  <c r="AQ12" i="2"/>
  <c r="BM12" i="2" s="1"/>
  <c r="N12" i="5" s="1"/>
  <c r="AQ10" i="2"/>
  <c r="BM10" i="2" s="1"/>
  <c r="N10" i="5" s="1"/>
  <c r="AQ8" i="2"/>
  <c r="BM8" i="2" s="1"/>
  <c r="N8" i="5" s="1"/>
  <c r="AQ6" i="2"/>
  <c r="BM6" i="2" s="1"/>
  <c r="N6" i="5" s="1"/>
  <c r="AS19" i="2"/>
  <c r="BJ19" i="2" s="1"/>
  <c r="AS17" i="2"/>
  <c r="BJ17" i="2" s="1"/>
  <c r="AS13" i="2"/>
  <c r="BJ13" i="2" s="1"/>
  <c r="AS7" i="2"/>
  <c r="BJ7" i="2" s="1"/>
  <c r="AU22" i="2"/>
  <c r="BK22" i="2" s="1"/>
  <c r="AU20" i="2"/>
  <c r="BK20" i="2" s="1"/>
  <c r="AU18" i="2"/>
  <c r="BK18" i="2" s="1"/>
  <c r="AU14" i="2"/>
  <c r="BK14" i="2" s="1"/>
  <c r="AU12" i="2"/>
  <c r="BK12" i="2" s="1"/>
  <c r="AU10" i="2"/>
  <c r="BK10" i="2" s="1"/>
  <c r="AQ23" i="2"/>
  <c r="BM23" i="2" s="1"/>
  <c r="N23" i="5" s="1"/>
  <c r="AQ21" i="2"/>
  <c r="BM21" i="2" s="1"/>
  <c r="N21" i="5" s="1"/>
  <c r="AQ19" i="2"/>
  <c r="BM19" i="2" s="1"/>
  <c r="N19" i="5" s="1"/>
  <c r="AQ17" i="2"/>
  <c r="BM17" i="2" s="1"/>
  <c r="N17" i="5" s="1"/>
  <c r="AQ15" i="2"/>
  <c r="BM15" i="2" s="1"/>
  <c r="N15" i="5" s="1"/>
  <c r="AQ13" i="2"/>
  <c r="BM13" i="2" s="1"/>
  <c r="N13" i="5" s="1"/>
  <c r="AQ11" i="2"/>
  <c r="BM11" i="2" s="1"/>
  <c r="N11" i="5" s="1"/>
  <c r="AQ9" i="2"/>
  <c r="BM9" i="2" s="1"/>
  <c r="N9" i="5" s="1"/>
  <c r="AQ7" i="2"/>
  <c r="BM7" i="2" s="1"/>
  <c r="N7" i="5" s="1"/>
  <c r="AQ5" i="2"/>
  <c r="BM5" i="2" s="1"/>
  <c r="N5" i="5" s="1"/>
  <c r="AS22" i="2"/>
  <c r="BJ22" i="2" s="1"/>
  <c r="AS20" i="2"/>
  <c r="BJ20" i="2" s="1"/>
  <c r="AS18" i="2"/>
  <c r="BJ18" i="2" s="1"/>
  <c r="AS14" i="2"/>
  <c r="BJ14" i="2" s="1"/>
  <c r="AS12" i="2"/>
  <c r="BJ12" i="2" s="1"/>
  <c r="AS10" i="2"/>
  <c r="BJ10" i="2" s="1"/>
  <c r="AU19" i="2"/>
  <c r="BK19" i="2" s="1"/>
  <c r="AU17" i="2"/>
  <c r="BK17" i="2" s="1"/>
  <c r="AU13" i="2"/>
  <c r="BK13" i="2" s="1"/>
  <c r="AU7" i="2"/>
  <c r="BK7" i="2" s="1"/>
  <c r="AW22" i="2"/>
  <c r="AW20" i="2"/>
  <c r="AW19" i="2"/>
  <c r="AW18" i="2"/>
  <c r="AW17" i="2"/>
  <c r="AW14" i="2"/>
  <c r="AW13" i="2"/>
  <c r="AW12" i="2"/>
  <c r="AW10" i="2"/>
  <c r="AW7" i="2"/>
  <c r="AI21" i="2"/>
  <c r="AI15" i="2"/>
  <c r="AI9" i="2"/>
  <c r="L7" i="1"/>
  <c r="L10" i="1"/>
  <c r="L12" i="1"/>
  <c r="L13" i="1"/>
  <c r="L14" i="1"/>
  <c r="L17" i="1"/>
  <c r="L18" i="1"/>
  <c r="L19" i="1"/>
  <c r="L20" i="1"/>
  <c r="L22" i="1"/>
  <c r="M7" i="1"/>
  <c r="M10" i="1"/>
  <c r="M12" i="1"/>
  <c r="M13" i="1"/>
  <c r="M14" i="1"/>
  <c r="M17" i="1"/>
  <c r="M18" i="1"/>
  <c r="M19" i="1"/>
  <c r="M20" i="1"/>
  <c r="M22" i="1"/>
  <c r="D10" i="2"/>
  <c r="D12" i="2"/>
  <c r="D13" i="2"/>
  <c r="D14" i="2"/>
  <c r="D17" i="2"/>
  <c r="D18" i="2"/>
  <c r="D19" i="2"/>
  <c r="D20" i="2"/>
  <c r="D22" i="2"/>
  <c r="N7" i="1"/>
  <c r="N10" i="1"/>
  <c r="N12" i="1"/>
  <c r="N13" i="1"/>
  <c r="N14" i="1"/>
  <c r="N17" i="1"/>
  <c r="N18" i="1"/>
  <c r="N19" i="1"/>
  <c r="N20" i="1"/>
  <c r="N22" i="1"/>
  <c r="AR17" i="2" l="1"/>
  <c r="AR22" i="2"/>
  <c r="AR10" i="2"/>
  <c r="AR14" i="2"/>
  <c r="AR20" i="2"/>
  <c r="AR12" i="2"/>
  <c r="AR19" i="2"/>
  <c r="AR7" i="2"/>
  <c r="AR13" i="2"/>
  <c r="AR18" i="2"/>
  <c r="AQ4" i="2"/>
  <c r="BM4" i="2" s="1"/>
  <c r="BW4" i="2"/>
  <c r="AV7" i="2"/>
  <c r="BV7" i="2" s="1"/>
  <c r="BL7" i="2"/>
  <c r="AV12" i="2"/>
  <c r="BV12" i="2" s="1"/>
  <c r="BL12" i="2"/>
  <c r="AV14" i="2"/>
  <c r="BV14" i="2" s="1"/>
  <c r="BL14" i="2"/>
  <c r="AV18" i="2"/>
  <c r="BV18" i="2" s="1"/>
  <c r="BL18" i="2"/>
  <c r="AV20" i="2"/>
  <c r="BV20" i="2" s="1"/>
  <c r="BL20" i="2"/>
  <c r="AV10" i="2"/>
  <c r="BV10" i="2" s="1"/>
  <c r="BL10" i="2"/>
  <c r="AV13" i="2"/>
  <c r="BV13" i="2" s="1"/>
  <c r="BL13" i="2"/>
  <c r="AV17" i="2"/>
  <c r="BV17" i="2" s="1"/>
  <c r="BL17" i="2"/>
  <c r="AV19" i="2"/>
  <c r="BV19" i="2" s="1"/>
  <c r="BL19" i="2"/>
  <c r="AV22" i="2"/>
  <c r="BV22" i="2" s="1"/>
  <c r="BL22" i="2"/>
  <c r="E19" i="2"/>
  <c r="E17" i="2"/>
  <c r="E13" i="2"/>
  <c r="E20" i="2"/>
  <c r="E18" i="2"/>
  <c r="E14" i="2"/>
  <c r="E12" i="2"/>
  <c r="E22" i="2"/>
  <c r="E10" i="2"/>
  <c r="P7" i="1"/>
  <c r="P10" i="1"/>
  <c r="P12" i="1"/>
  <c r="P13" i="1"/>
  <c r="P14" i="1"/>
  <c r="P17" i="1"/>
  <c r="P18" i="1"/>
  <c r="P19" i="1"/>
  <c r="P20" i="1"/>
  <c r="P22" i="1"/>
  <c r="N4" i="5" l="1"/>
  <c r="N27" i="5" s="1"/>
  <c r="N30" i="5" s="1"/>
  <c r="M22" i="5"/>
  <c r="M19" i="5"/>
  <c r="M17" i="5"/>
  <c r="M13" i="5"/>
  <c r="M10" i="5"/>
  <c r="M20" i="5"/>
  <c r="M18" i="5"/>
  <c r="M14" i="5"/>
  <c r="M12" i="5"/>
  <c r="M7" i="5"/>
  <c r="F10" i="2"/>
  <c r="AI10" i="2" s="1"/>
  <c r="AK10" i="2" s="1"/>
  <c r="AL10" i="2" s="1"/>
  <c r="BE10" i="2" s="1"/>
  <c r="CM10" i="2"/>
  <c r="CK10" i="2"/>
  <c r="CN10" i="2"/>
  <c r="CL10" i="2"/>
  <c r="CJ10" i="2"/>
  <c r="F12" i="2"/>
  <c r="AI12" i="2" s="1"/>
  <c r="CM12" i="2"/>
  <c r="CK12" i="2"/>
  <c r="CN12" i="2"/>
  <c r="CL12" i="2"/>
  <c r="CJ12" i="2"/>
  <c r="F18" i="2"/>
  <c r="AI18" i="2" s="1"/>
  <c r="AK18" i="2" s="1"/>
  <c r="AL18" i="2" s="1"/>
  <c r="BE18" i="2" s="1"/>
  <c r="CM18" i="2"/>
  <c r="CK18" i="2"/>
  <c r="CN18" i="2"/>
  <c r="CL18" i="2"/>
  <c r="CJ18" i="2"/>
  <c r="F13" i="2"/>
  <c r="AI13" i="2" s="1"/>
  <c r="AK13" i="2" s="1"/>
  <c r="AL13" i="2" s="1"/>
  <c r="BE13" i="2" s="1"/>
  <c r="BO13" i="2" s="1"/>
  <c r="CC13" i="2" s="1"/>
  <c r="CH13" i="2" s="1"/>
  <c r="Y13" i="5" s="1"/>
  <c r="CN13" i="2"/>
  <c r="CL13" i="2"/>
  <c r="CJ13" i="2"/>
  <c r="CM13" i="2"/>
  <c r="CK13" i="2"/>
  <c r="F19" i="2"/>
  <c r="AI19" i="2" s="1"/>
  <c r="AK19" i="2" s="1"/>
  <c r="AL19" i="2" s="1"/>
  <c r="BE19" i="2" s="1"/>
  <c r="CN19" i="2"/>
  <c r="CL19" i="2"/>
  <c r="CJ19" i="2"/>
  <c r="CM19" i="2"/>
  <c r="CK19" i="2"/>
  <c r="F22" i="2"/>
  <c r="AI22" i="2" s="1"/>
  <c r="AK22" i="2" s="1"/>
  <c r="AL22" i="2" s="1"/>
  <c r="BE22" i="2" s="1"/>
  <c r="CM22" i="2"/>
  <c r="CK22" i="2"/>
  <c r="CN22" i="2"/>
  <c r="CL22" i="2"/>
  <c r="CJ22" i="2"/>
  <c r="F14" i="2"/>
  <c r="AI14" i="2" s="1"/>
  <c r="AK14" i="2" s="1"/>
  <c r="AL14" i="2" s="1"/>
  <c r="BE14" i="2" s="1"/>
  <c r="CM14" i="2"/>
  <c r="CK14" i="2"/>
  <c r="CN14" i="2"/>
  <c r="CL14" i="2"/>
  <c r="CJ14" i="2"/>
  <c r="F20" i="2"/>
  <c r="AI20" i="2" s="1"/>
  <c r="AK20" i="2" s="1"/>
  <c r="AL20" i="2" s="1"/>
  <c r="BE20" i="2" s="1"/>
  <c r="CM20" i="2"/>
  <c r="CK20" i="2"/>
  <c r="CN20" i="2"/>
  <c r="CL20" i="2"/>
  <c r="CJ20" i="2"/>
  <c r="F17" i="2"/>
  <c r="AI17" i="2" s="1"/>
  <c r="AK17" i="2" s="1"/>
  <c r="AL17" i="2" s="1"/>
  <c r="BE17" i="2" s="1"/>
  <c r="CN17" i="2"/>
  <c r="CL17" i="2"/>
  <c r="CJ17" i="2"/>
  <c r="CM17" i="2"/>
  <c r="CK17" i="2"/>
  <c r="AK12" i="2"/>
  <c r="AL12" i="2" s="1"/>
  <c r="BE12" i="2" s="1"/>
  <c r="R18" i="1"/>
  <c r="Q18" i="1"/>
  <c r="R12" i="1"/>
  <c r="Q12" i="1"/>
  <c r="R22" i="1"/>
  <c r="Q22" i="1"/>
  <c r="Q19" i="1"/>
  <c r="R19" i="1"/>
  <c r="Q17" i="1"/>
  <c r="R17" i="1"/>
  <c r="Q13" i="1"/>
  <c r="R13" i="1"/>
  <c r="R10" i="1"/>
  <c r="Q10" i="1"/>
  <c r="R20" i="1"/>
  <c r="Q20" i="1"/>
  <c r="R14" i="1"/>
  <c r="Q14" i="1"/>
  <c r="Q7" i="1"/>
  <c r="D7" i="2" s="1"/>
  <c r="R7" i="1"/>
  <c r="BO14" i="2" l="1"/>
  <c r="CC14" i="2" s="1"/>
  <c r="CH14" i="2" s="1"/>
  <c r="Y14" i="5" s="1"/>
  <c r="BO19" i="2"/>
  <c r="CC19" i="2" s="1"/>
  <c r="CH19" i="2" s="1"/>
  <c r="Y19" i="5" s="1"/>
  <c r="BO18" i="2"/>
  <c r="CC18" i="2" s="1"/>
  <c r="CH18" i="2" s="1"/>
  <c r="Y18" i="5" s="1"/>
  <c r="BO12" i="2"/>
  <c r="CC12" i="2" s="1"/>
  <c r="CH12" i="2" s="1"/>
  <c r="Y12" i="5" s="1"/>
  <c r="BO20" i="2"/>
  <c r="CC20" i="2" s="1"/>
  <c r="CH20" i="2" s="1"/>
  <c r="Y20" i="5" s="1"/>
  <c r="BO22" i="2"/>
  <c r="CC22" i="2" s="1"/>
  <c r="CH22" i="2" s="1"/>
  <c r="Y22" i="5" s="1"/>
  <c r="BO17" i="2"/>
  <c r="CC17" i="2" s="1"/>
  <c r="CH17" i="2" s="1"/>
  <c r="Y17" i="5" s="1"/>
  <c r="BO10" i="2"/>
  <c r="CC10" i="2" s="1"/>
  <c r="CH10" i="2" s="1"/>
  <c r="Y10" i="5" s="1"/>
  <c r="CO17" i="2"/>
  <c r="T17" i="5" s="1"/>
  <c r="CO20" i="2"/>
  <c r="T20" i="5" s="1"/>
  <c r="CO14" i="2"/>
  <c r="T14" i="5" s="1"/>
  <c r="CO22" i="2"/>
  <c r="T22" i="5" s="1"/>
  <c r="CO19" i="2"/>
  <c r="T19" i="5" s="1"/>
  <c r="CO13" i="2"/>
  <c r="T13" i="5" s="1"/>
  <c r="CO18" i="2"/>
  <c r="T18" i="5" s="1"/>
  <c r="CO12" i="2"/>
  <c r="T12" i="5" s="1"/>
  <c r="CO10" i="2"/>
  <c r="T10" i="5" s="1"/>
  <c r="CE13" i="2"/>
  <c r="CF13" i="2"/>
  <c r="CE10" i="2"/>
  <c r="CE20" i="2"/>
  <c r="CE12" i="2"/>
  <c r="CE18" i="2"/>
  <c r="CF14" i="2"/>
  <c r="BQ12" i="2"/>
  <c r="F12" i="5" s="1"/>
  <c r="BQ19" i="2"/>
  <c r="F19" i="5" s="1"/>
  <c r="BQ13" i="2"/>
  <c r="F13" i="5" s="1"/>
  <c r="BQ18" i="2"/>
  <c r="F18" i="5" s="1"/>
  <c r="BQ10" i="2"/>
  <c r="F10" i="5" s="1"/>
  <c r="BQ17" i="2"/>
  <c r="F17" i="5" s="1"/>
  <c r="BQ20" i="2"/>
  <c r="F20" i="5" s="1"/>
  <c r="BQ14" i="2"/>
  <c r="F14" i="5" s="1"/>
  <c r="BQ22" i="2"/>
  <c r="F22" i="5" s="1"/>
  <c r="E7" i="2"/>
  <c r="CE17" i="2" l="1"/>
  <c r="CE14" i="2"/>
  <c r="CF18" i="2"/>
  <c r="CF19" i="2"/>
  <c r="CE19" i="2"/>
  <c r="CE22" i="2"/>
  <c r="CF10" i="2"/>
  <c r="CF17" i="2"/>
  <c r="CF12" i="2"/>
  <c r="CF22" i="2"/>
  <c r="CF20" i="2"/>
  <c r="F7" i="2"/>
  <c r="AI7" i="2" s="1"/>
  <c r="AK7" i="2" s="1"/>
  <c r="AL7" i="2" s="1"/>
  <c r="BE7" i="2" s="1"/>
  <c r="CN7" i="2"/>
  <c r="CL7" i="2"/>
  <c r="CM7" i="2"/>
  <c r="CK7" i="2"/>
  <c r="CJ7" i="2"/>
  <c r="AA4" i="4"/>
  <c r="AB4" i="4" s="1"/>
  <c r="AA5" i="4" s="1"/>
  <c r="AB5" i="4" s="1"/>
  <c r="AA6" i="4" s="1"/>
  <c r="AB6" i="4" s="1"/>
  <c r="AA7" i="4" s="1"/>
  <c r="AB7" i="4" s="1"/>
  <c r="AA8" i="4" s="1"/>
  <c r="AB8" i="4" s="1"/>
  <c r="AA9" i="4" s="1"/>
  <c r="AB9" i="4" s="1"/>
  <c r="AA10" i="4" s="1"/>
  <c r="AB10" i="4" s="1"/>
  <c r="AA11" i="4" s="1"/>
  <c r="AB11" i="4" s="1"/>
  <c r="AA12" i="4" s="1"/>
  <c r="AB12" i="4" s="1"/>
  <c r="AA13" i="4" s="1"/>
  <c r="AB13" i="4" s="1"/>
  <c r="AA14" i="4" s="1"/>
  <c r="AB14" i="4" s="1"/>
  <c r="AA15" i="4" s="1"/>
  <c r="AB15" i="4" s="1"/>
  <c r="W4" i="4"/>
  <c r="X4" i="4" s="1"/>
  <c r="W5" i="4" s="1"/>
  <c r="X5" i="4" s="1"/>
  <c r="CO7" i="2" l="1"/>
  <c r="T7" i="5" s="1"/>
  <c r="BO7" i="2"/>
  <c r="CC7" i="2" s="1"/>
  <c r="CH7" i="2" s="1"/>
  <c r="Y7" i="5" s="1"/>
  <c r="BQ7" i="2"/>
  <c r="F7" i="5" s="1"/>
  <c r="G7" i="4"/>
  <c r="CF7" i="2" l="1"/>
  <c r="CE7" i="2"/>
  <c r="G12" i="4"/>
  <c r="G26" i="4" s="1"/>
  <c r="W6" i="4"/>
  <c r="X6" i="4" s="1"/>
  <c r="W7" i="4" s="1"/>
  <c r="S4" i="4"/>
  <c r="S5" i="4" s="1"/>
  <c r="CG7" i="2" l="1"/>
  <c r="S7" i="5" s="1"/>
  <c r="Z7" i="5" s="1"/>
  <c r="CG17" i="2"/>
  <c r="S17" i="5" s="1"/>
  <c r="Z17" i="5" s="1"/>
  <c r="CG19" i="2"/>
  <c r="S19" i="5" s="1"/>
  <c r="Z19" i="5" s="1"/>
  <c r="CG22" i="2"/>
  <c r="S22" i="5" s="1"/>
  <c r="Z22" i="5" s="1"/>
  <c r="CG10" i="2"/>
  <c r="S10" i="5" s="1"/>
  <c r="Z10" i="5" s="1"/>
  <c r="CG14" i="2"/>
  <c r="S14" i="5" s="1"/>
  <c r="Z14" i="5" s="1"/>
  <c r="CG18" i="2"/>
  <c r="S18" i="5" s="1"/>
  <c r="Z18" i="5" s="1"/>
  <c r="CG12" i="2"/>
  <c r="S12" i="5" s="1"/>
  <c r="Z12" i="5" s="1"/>
  <c r="CG20" i="2"/>
  <c r="S20" i="5" s="1"/>
  <c r="Z20" i="5" s="1"/>
  <c r="CG13" i="2"/>
  <c r="S13" i="5" s="1"/>
  <c r="Z13" i="5" s="1"/>
  <c r="CD13" i="2"/>
  <c r="CD10" i="2"/>
  <c r="CD20" i="2"/>
  <c r="CD22" i="2"/>
  <c r="CD12" i="2"/>
  <c r="CD19" i="2"/>
  <c r="CD18" i="2"/>
  <c r="CD17" i="2"/>
  <c r="CD14" i="2"/>
  <c r="CD7" i="2"/>
  <c r="BT13" i="2"/>
  <c r="K13" i="5" s="1"/>
  <c r="BT7" i="2"/>
  <c r="K7" i="5" s="1"/>
  <c r="BT17" i="2"/>
  <c r="K17" i="5" s="1"/>
  <c r="BT19" i="2"/>
  <c r="K19" i="5" s="1"/>
  <c r="BT14" i="2"/>
  <c r="K14" i="5" s="1"/>
  <c r="BT22" i="2"/>
  <c r="K22" i="5" s="1"/>
  <c r="BT20" i="2"/>
  <c r="K20" i="5" s="1"/>
  <c r="BT10" i="2"/>
  <c r="K10" i="5" s="1"/>
  <c r="BT18" i="2"/>
  <c r="K18" i="5" s="1"/>
  <c r="BT12" i="2"/>
  <c r="K12" i="5" s="1"/>
  <c r="H16" i="2"/>
  <c r="K16" i="2" s="1"/>
  <c r="H11" i="2"/>
  <c r="K11" i="2" s="1"/>
  <c r="H8" i="2"/>
  <c r="K8" i="2" s="1"/>
  <c r="H5" i="2"/>
  <c r="K5" i="2" s="1"/>
  <c r="H4" i="2"/>
  <c r="K4" i="2" s="1"/>
  <c r="H21" i="2"/>
  <c r="K21" i="2" s="1"/>
  <c r="H15" i="2"/>
  <c r="K15" i="2" s="1"/>
  <c r="H9" i="2"/>
  <c r="K9" i="2" s="1"/>
  <c r="H6" i="2"/>
  <c r="K6" i="2" s="1"/>
  <c r="X7" i="4"/>
  <c r="W8" i="4" s="1"/>
  <c r="X8" i="4" s="1"/>
  <c r="W9" i="4" s="1"/>
  <c r="T5" i="4"/>
  <c r="R5" i="4" s="1"/>
  <c r="S6" i="4"/>
  <c r="T4" i="4"/>
  <c r="CR4" i="2" l="1"/>
  <c r="CW4" i="2" s="1"/>
  <c r="V4" i="5" s="1"/>
  <c r="BC6" i="2"/>
  <c r="D6" i="5" s="1"/>
  <c r="BC15" i="2"/>
  <c r="D15" i="5" s="1"/>
  <c r="BC4" i="2"/>
  <c r="D4" i="5" s="1"/>
  <c r="BC8" i="2"/>
  <c r="D8" i="5" s="1"/>
  <c r="BC21" i="2"/>
  <c r="D21" i="5" s="1"/>
  <c r="BC11" i="2"/>
  <c r="D11" i="5" s="1"/>
  <c r="BC16" i="2"/>
  <c r="D16" i="5" s="1"/>
  <c r="BC9" i="2"/>
  <c r="D9" i="5" s="1"/>
  <c r="BC5" i="2"/>
  <c r="D5" i="5" s="1"/>
  <c r="AW21" i="2"/>
  <c r="AS21" i="2"/>
  <c r="AR21" i="2" s="1"/>
  <c r="AU21" i="2"/>
  <c r="BK21" i="2" s="1"/>
  <c r="AW11" i="2"/>
  <c r="BL11" i="2" s="1"/>
  <c r="AS11" i="2"/>
  <c r="AR11" i="2" s="1"/>
  <c r="AV11" i="2"/>
  <c r="BV11" i="2" s="1"/>
  <c r="AU11" i="2"/>
  <c r="BK11" i="2" s="1"/>
  <c r="AS9" i="2"/>
  <c r="AR9" i="2" s="1"/>
  <c r="AU9" i="2"/>
  <c r="AW9" i="2"/>
  <c r="AS5" i="2"/>
  <c r="AR5" i="2" s="1"/>
  <c r="AU5" i="2"/>
  <c r="AW5" i="2"/>
  <c r="AU6" i="2"/>
  <c r="AW6" i="2"/>
  <c r="AS6" i="2"/>
  <c r="AR6" i="2" s="1"/>
  <c r="AW15" i="2"/>
  <c r="BL15" i="2" s="1"/>
  <c r="AS15" i="2"/>
  <c r="AR15" i="2" s="1"/>
  <c r="AV15" i="2"/>
  <c r="BV15" i="2" s="1"/>
  <c r="AU15" i="2"/>
  <c r="BK15" i="2" s="1"/>
  <c r="AW4" i="2"/>
  <c r="AS4" i="2"/>
  <c r="AR4" i="2" s="1"/>
  <c r="AU4" i="2"/>
  <c r="AS8" i="2"/>
  <c r="AR8" i="2" s="1"/>
  <c r="AW8" i="2"/>
  <c r="AU8" i="2"/>
  <c r="BK8" i="2" s="1"/>
  <c r="AS16" i="2"/>
  <c r="AR16" i="2" s="1"/>
  <c r="AU16" i="2"/>
  <c r="BK16" i="2" s="1"/>
  <c r="AW16" i="2"/>
  <c r="X9" i="4"/>
  <c r="W10" i="4" s="1"/>
  <c r="X10" i="4" s="1"/>
  <c r="W11" i="4" s="1"/>
  <c r="X11" i="4" s="1"/>
  <c r="W12" i="4" s="1"/>
  <c r="X12" i="4" s="1"/>
  <c r="T6" i="4"/>
  <c r="R6" i="4" s="1"/>
  <c r="S7" i="4"/>
  <c r="H24" i="2" l="1"/>
  <c r="K24" i="2" s="1"/>
  <c r="BC24" i="2" s="1"/>
  <c r="D24" i="5" s="1"/>
  <c r="V27" i="5"/>
  <c r="V30" i="5" s="1"/>
  <c r="M15" i="5"/>
  <c r="M11" i="5"/>
  <c r="AV16" i="2"/>
  <c r="BV16" i="2" s="1"/>
  <c r="BL16" i="2"/>
  <c r="BT16" i="2"/>
  <c r="BJ16" i="2"/>
  <c r="AV8" i="2"/>
  <c r="BV8" i="2" s="1"/>
  <c r="BL8" i="2"/>
  <c r="AT4" i="2"/>
  <c r="BK4" i="2"/>
  <c r="AV4" i="2"/>
  <c r="BV4" i="2" s="1"/>
  <c r="BL4" i="2"/>
  <c r="AV6" i="2"/>
  <c r="BV6" i="2" s="1"/>
  <c r="BL6" i="2"/>
  <c r="AV5" i="2"/>
  <c r="BV5" i="2" s="1"/>
  <c r="BL5" i="2"/>
  <c r="BT5" i="2"/>
  <c r="BJ5" i="2"/>
  <c r="AT9" i="2"/>
  <c r="BK9" i="2"/>
  <c r="BT11" i="2"/>
  <c r="BJ11" i="2"/>
  <c r="AV21" i="2"/>
  <c r="BV21" i="2" s="1"/>
  <c r="BL21" i="2"/>
  <c r="BT8" i="2"/>
  <c r="BJ8" i="2"/>
  <c r="BT4" i="2"/>
  <c r="BJ4" i="2"/>
  <c r="BT15" i="2"/>
  <c r="BJ15" i="2"/>
  <c r="BT6" i="2"/>
  <c r="BJ6" i="2"/>
  <c r="AT6" i="2"/>
  <c r="BU6" i="2" s="1"/>
  <c r="BK6" i="2"/>
  <c r="AT5" i="2"/>
  <c r="BU5" i="2" s="1"/>
  <c r="BK5" i="2"/>
  <c r="AV9" i="2"/>
  <c r="BV9" i="2" s="1"/>
  <c r="BL9" i="2"/>
  <c r="BT9" i="2"/>
  <c r="BJ9" i="2"/>
  <c r="BT21" i="2"/>
  <c r="BJ21" i="2"/>
  <c r="AT15" i="2"/>
  <c r="AT16" i="2"/>
  <c r="AT8" i="2"/>
  <c r="W13" i="4"/>
  <c r="X13" i="4" s="1"/>
  <c r="T7" i="4"/>
  <c r="R7" i="4" s="1"/>
  <c r="S8" i="4"/>
  <c r="AW24" i="2" l="1"/>
  <c r="AU24" i="2"/>
  <c r="BK24" i="2" s="1"/>
  <c r="AS24" i="2"/>
  <c r="AR24" i="2" s="1"/>
  <c r="BT24" i="2" s="1"/>
  <c r="M9" i="5"/>
  <c r="L5" i="5"/>
  <c r="L6" i="5"/>
  <c r="M21" i="5"/>
  <c r="M5" i="5"/>
  <c r="M6" i="5"/>
  <c r="M4" i="5"/>
  <c r="M8" i="5"/>
  <c r="K21" i="5"/>
  <c r="K9" i="5"/>
  <c r="K6" i="5"/>
  <c r="K15" i="5"/>
  <c r="K4" i="5"/>
  <c r="K8" i="5"/>
  <c r="K11" i="5"/>
  <c r="K5" i="5"/>
  <c r="K16" i="5"/>
  <c r="M16" i="5"/>
  <c r="AT11" i="2"/>
  <c r="BU8" i="2"/>
  <c r="L8" i="5" s="1"/>
  <c r="AT12" i="2"/>
  <c r="BU12" i="2" s="1"/>
  <c r="BU9" i="2"/>
  <c r="L9" i="5" s="1"/>
  <c r="AT7" i="2"/>
  <c r="BU4" i="2"/>
  <c r="L4" i="5" s="1"/>
  <c r="AT18" i="2"/>
  <c r="BU15" i="2"/>
  <c r="L15" i="5" s="1"/>
  <c r="AT19" i="2"/>
  <c r="BU16" i="2"/>
  <c r="L16" i="5" s="1"/>
  <c r="N16" i="1"/>
  <c r="M16" i="1"/>
  <c r="L16" i="1"/>
  <c r="P16" i="1" s="1"/>
  <c r="R16" i="1" s="1"/>
  <c r="W14" i="4"/>
  <c r="X14" i="4" s="1"/>
  <c r="T8" i="4"/>
  <c r="R8" i="4" s="1"/>
  <c r="S9" i="4"/>
  <c r="BL24" i="2" l="1"/>
  <c r="AV24" i="2"/>
  <c r="BV24" i="2" s="1"/>
  <c r="BJ24" i="2"/>
  <c r="K24" i="5" s="1"/>
  <c r="BY12" i="2"/>
  <c r="L12" i="5"/>
  <c r="Q12" i="5" s="1"/>
  <c r="AB12" i="5" s="1"/>
  <c r="AT10" i="2"/>
  <c r="BU7" i="2"/>
  <c r="AT14" i="2"/>
  <c r="BU11" i="2"/>
  <c r="L11" i="5" s="1"/>
  <c r="AT22" i="2"/>
  <c r="BU22" i="2" s="1"/>
  <c r="BU19" i="2"/>
  <c r="AT21" i="2"/>
  <c r="BU18" i="2"/>
  <c r="BH4" i="2"/>
  <c r="Q16" i="1"/>
  <c r="D16" i="2" s="1"/>
  <c r="E16" i="2" s="1"/>
  <c r="W15" i="4"/>
  <c r="X15" i="4" s="1"/>
  <c r="T9" i="4"/>
  <c r="R9" i="4" s="1"/>
  <c r="S10" i="4"/>
  <c r="M24" i="5" l="1"/>
  <c r="BY22" i="2"/>
  <c r="L22" i="5"/>
  <c r="Q22" i="5" s="1"/>
  <c r="AB22" i="5" s="1"/>
  <c r="BY18" i="2"/>
  <c r="L18" i="5"/>
  <c r="Q18" i="5" s="1"/>
  <c r="AB18" i="5" s="1"/>
  <c r="BY19" i="2"/>
  <c r="L19" i="5"/>
  <c r="Q19" i="5" s="1"/>
  <c r="AB19" i="5" s="1"/>
  <c r="BY7" i="2"/>
  <c r="L7" i="5"/>
  <c r="Q7" i="5" s="1"/>
  <c r="AB7" i="5" s="1"/>
  <c r="F16" i="2"/>
  <c r="CM16" i="2"/>
  <c r="CK16" i="2"/>
  <c r="CN16" i="2"/>
  <c r="CL16" i="2"/>
  <c r="CJ16" i="2"/>
  <c r="AT24" i="2"/>
  <c r="BU24" i="2" s="1"/>
  <c r="L24" i="5" s="1"/>
  <c r="BU21" i="2"/>
  <c r="L21" i="5" s="1"/>
  <c r="AT17" i="2"/>
  <c r="BU14" i="2"/>
  <c r="AT13" i="2"/>
  <c r="BU13" i="2" s="1"/>
  <c r="BU10" i="2"/>
  <c r="AO4" i="2"/>
  <c r="BI4" i="2" s="1"/>
  <c r="AI4" i="2"/>
  <c r="W16" i="4"/>
  <c r="X16" i="4" s="1"/>
  <c r="T10" i="4"/>
  <c r="R10" i="4" s="1"/>
  <c r="S11" i="4"/>
  <c r="AI11" i="2" l="1"/>
  <c r="CO16" i="2"/>
  <c r="T16" i="5" s="1"/>
  <c r="BY10" i="2"/>
  <c r="L10" i="5"/>
  <c r="Q10" i="5" s="1"/>
  <c r="AB10" i="5" s="1"/>
  <c r="BY14" i="2"/>
  <c r="L14" i="5"/>
  <c r="Q14" i="5" s="1"/>
  <c r="AB14" i="5" s="1"/>
  <c r="I4" i="5"/>
  <c r="I27" i="5" s="1"/>
  <c r="I30" i="5" s="1"/>
  <c r="BY13" i="2"/>
  <c r="L13" i="5"/>
  <c r="Q13" i="5" s="1"/>
  <c r="AB13" i="5" s="1"/>
  <c r="AJ16" i="2"/>
  <c r="AI16" i="2"/>
  <c r="AT20" i="2"/>
  <c r="BU17" i="2"/>
  <c r="W17" i="4"/>
  <c r="X17" i="4" s="1"/>
  <c r="T11" i="4"/>
  <c r="R11" i="4" s="1"/>
  <c r="S12" i="4"/>
  <c r="AK16" i="2" l="1"/>
  <c r="AL16" i="2" s="1"/>
  <c r="BE16" i="2" s="1"/>
  <c r="BO16" i="2" s="1"/>
  <c r="CC16" i="2" s="1"/>
  <c r="CD16" i="2" s="1"/>
  <c r="CE16" i="2" s="1"/>
  <c r="BY17" i="2"/>
  <c r="L17" i="5"/>
  <c r="Q17" i="5" s="1"/>
  <c r="AB17" i="5" s="1"/>
  <c r="BU20" i="2"/>
  <c r="W18" i="4"/>
  <c r="X18" i="4" s="1"/>
  <c r="T12" i="4"/>
  <c r="R12" i="4" s="1"/>
  <c r="S13" i="4"/>
  <c r="BQ16" i="2" l="1"/>
  <c r="BY16" i="2" s="1"/>
  <c r="BY20" i="2"/>
  <c r="L20" i="5"/>
  <c r="CF16" i="2"/>
  <c r="CG16" i="2" s="1"/>
  <c r="S16" i="5" s="1"/>
  <c r="W19" i="4"/>
  <c r="X19" i="4" s="1"/>
  <c r="T13" i="4"/>
  <c r="R13" i="4" s="1"/>
  <c r="S14" i="4"/>
  <c r="F16" i="5" l="1"/>
  <c r="Q16" i="5" s="1"/>
  <c r="Q20" i="5"/>
  <c r="AB20" i="5" s="1"/>
  <c r="CH16" i="2"/>
  <c r="Y16" i="5" s="1"/>
  <c r="Z16" i="5" s="1"/>
  <c r="W20" i="4"/>
  <c r="X20" i="4" s="1"/>
  <c r="T14" i="4"/>
  <c r="R14" i="4" s="1"/>
  <c r="S15" i="4"/>
  <c r="AB16" i="5" l="1"/>
  <c r="W21" i="4"/>
  <c r="X21" i="4" s="1"/>
  <c r="T15" i="4"/>
  <c r="R15" i="4" s="1"/>
  <c r="S16" i="4"/>
  <c r="W22" i="4" l="1"/>
  <c r="X22" i="4" s="1"/>
  <c r="T16" i="4"/>
  <c r="R16" i="4" s="1"/>
  <c r="S17" i="4"/>
  <c r="W23" i="4" l="1"/>
  <c r="X23" i="4" s="1"/>
  <c r="T17" i="4"/>
  <c r="R17" i="4" s="1"/>
  <c r="S18" i="4"/>
  <c r="W24" i="4" l="1"/>
  <c r="X24" i="4" s="1"/>
  <c r="T18" i="4"/>
  <c r="R18" i="4" s="1"/>
  <c r="S19" i="4"/>
  <c r="W25" i="4" l="1"/>
  <c r="X25" i="4" s="1"/>
  <c r="T19" i="4"/>
  <c r="R19" i="4" s="1"/>
  <c r="S20" i="4"/>
  <c r="W26" i="4" l="1"/>
  <c r="X26" i="4" s="1"/>
  <c r="T20" i="4"/>
  <c r="R20" i="4" s="1"/>
  <c r="S21" i="4"/>
  <c r="W27" i="4" l="1"/>
  <c r="X27" i="4" s="1"/>
  <c r="T21" i="4"/>
  <c r="R21" i="4" s="1"/>
  <c r="S22" i="4"/>
  <c r="T22" i="4" l="1"/>
  <c r="R22" i="4" s="1"/>
  <c r="S23" i="4"/>
  <c r="T23" i="4" l="1"/>
  <c r="R23" i="4" s="1"/>
  <c r="S24" i="4"/>
  <c r="T24" i="4" l="1"/>
  <c r="R24" i="4" s="1"/>
  <c r="S25" i="4"/>
  <c r="T25" i="4" l="1"/>
  <c r="R25" i="4" s="1"/>
  <c r="S26" i="4"/>
  <c r="T26" i="4" l="1"/>
  <c r="R26" i="4" s="1"/>
  <c r="S27" i="4"/>
  <c r="T27" i="4" l="1"/>
  <c r="R27" i="4" s="1"/>
  <c r="S28" i="4"/>
  <c r="T28" i="4" l="1"/>
  <c r="R28" i="4" s="1"/>
  <c r="S29" i="4"/>
  <c r="T29" i="4" l="1"/>
  <c r="R29" i="4" s="1"/>
  <c r="S30" i="4"/>
  <c r="T30" i="4" l="1"/>
  <c r="R30" i="4" s="1"/>
  <c r="S31" i="4"/>
  <c r="T31" i="4" l="1"/>
  <c r="R31" i="4" s="1"/>
  <c r="S32" i="4"/>
  <c r="T32" i="4" l="1"/>
  <c r="R32" i="4" s="1"/>
  <c r="S33" i="4"/>
  <c r="T33" i="4" l="1"/>
  <c r="R33" i="4" s="1"/>
  <c r="S34" i="4"/>
  <c r="T34" i="4" l="1"/>
  <c r="R34" i="4" s="1"/>
  <c r="S35" i="4"/>
  <c r="T35" i="4" l="1"/>
  <c r="R35" i="4" s="1"/>
  <c r="S36" i="4"/>
  <c r="T36" i="4" l="1"/>
  <c r="R36" i="4" s="1"/>
  <c r="S37" i="4"/>
  <c r="T37" i="4" l="1"/>
  <c r="R37" i="4" s="1"/>
  <c r="S38" i="4"/>
  <c r="T38" i="4" l="1"/>
  <c r="R38" i="4" s="1"/>
  <c r="S39" i="4"/>
  <c r="T39" i="4" l="1"/>
  <c r="R39" i="4" s="1"/>
  <c r="S40" i="4"/>
  <c r="T40" i="4" l="1"/>
  <c r="R40" i="4" s="1"/>
  <c r="S41" i="4"/>
  <c r="T41" i="4" l="1"/>
  <c r="R41" i="4" s="1"/>
  <c r="S42" i="4"/>
  <c r="T42" i="4" l="1"/>
  <c r="R42" i="4" s="1"/>
  <c r="S43" i="4"/>
  <c r="T43" i="4" l="1"/>
  <c r="R43" i="4" s="1"/>
  <c r="S44" i="4"/>
  <c r="T44" i="4" l="1"/>
  <c r="R44" i="4" s="1"/>
  <c r="S45" i="4"/>
  <c r="T45" i="4" l="1"/>
  <c r="R45" i="4" s="1"/>
  <c r="S46" i="4"/>
  <c r="T46" i="4" l="1"/>
  <c r="R46" i="4" s="1"/>
  <c r="S47" i="4"/>
  <c r="T47" i="4" l="1"/>
  <c r="R47" i="4" s="1"/>
  <c r="S48" i="4"/>
  <c r="T48" i="4" l="1"/>
  <c r="R48" i="4" s="1"/>
  <c r="S49" i="4"/>
  <c r="T49" i="4" l="1"/>
  <c r="R49" i="4" s="1"/>
  <c r="S50" i="4"/>
  <c r="T50" i="4" l="1"/>
  <c r="R50" i="4" s="1"/>
  <c r="S51" i="4"/>
  <c r="T51" i="4" l="1"/>
  <c r="R51" i="4" s="1"/>
  <c r="S52" i="4"/>
  <c r="T52" i="4" l="1"/>
  <c r="R52" i="4" s="1"/>
  <c r="S53" i="4"/>
  <c r="T53" i="4" l="1"/>
  <c r="R53" i="4" s="1"/>
  <c r="S54" i="4"/>
  <c r="T54" i="4" l="1"/>
  <c r="R54" i="4" s="1"/>
  <c r="S55" i="4"/>
  <c r="T55" i="4" l="1"/>
  <c r="R55" i="4" l="1"/>
  <c r="P1" i="2"/>
  <c r="N1" i="2"/>
  <c r="H23" i="2" s="1"/>
  <c r="K23" i="2" s="1"/>
  <c r="BC23" i="2" l="1"/>
  <c r="D23" i="5" s="1"/>
  <c r="D27" i="5" s="1"/>
  <c r="D30" i="5" s="1"/>
  <c r="AS23" i="2"/>
  <c r="AU23" i="2"/>
  <c r="BK23" i="2" s="1"/>
  <c r="AW23" i="2"/>
  <c r="BL23" i="2" s="1"/>
  <c r="AT23" i="2"/>
  <c r="BU23" i="2" s="1"/>
  <c r="L23" i="5" s="1"/>
  <c r="L27" i="5" s="1"/>
  <c r="L30" i="5" s="1"/>
  <c r="A29" i="5"/>
  <c r="CR1" i="2"/>
  <c r="CT1" i="2" s="1"/>
  <c r="G5" i="4"/>
  <c r="AV23" i="2" l="1"/>
  <c r="BV23" i="2" s="1"/>
  <c r="M23" i="5" s="1"/>
  <c r="M27" i="5" s="1"/>
  <c r="M30" i="5" s="1"/>
  <c r="AR23" i="2"/>
  <c r="BT23" i="2" s="1"/>
  <c r="BJ23" i="2"/>
  <c r="K23" i="5" s="1"/>
  <c r="K27" i="5" s="1"/>
  <c r="K30" i="5" s="1"/>
  <c r="L6" i="1"/>
  <c r="P6" i="1" s="1"/>
  <c r="N15" i="1"/>
  <c r="N23" i="1"/>
  <c r="N8" i="1"/>
  <c r="L4" i="1"/>
  <c r="P4" i="1" s="1"/>
  <c r="M23" i="1"/>
  <c r="L8" i="1"/>
  <c r="P8" i="1" s="1"/>
  <c r="N21" i="1"/>
  <c r="N5" i="1"/>
  <c r="N6" i="1"/>
  <c r="M6" i="1"/>
  <c r="L15" i="1"/>
  <c r="P15" i="1" s="1"/>
  <c r="M4" i="1"/>
  <c r="M11" i="1"/>
  <c r="M24" i="1"/>
  <c r="M9" i="1"/>
  <c r="N11" i="1"/>
  <c r="L23" i="1"/>
  <c r="P23" i="1" s="1"/>
  <c r="L9" i="1"/>
  <c r="P9" i="1" s="1"/>
  <c r="M21" i="1"/>
  <c r="N24" i="1"/>
  <c r="L5" i="1"/>
  <c r="P5" i="1" s="1"/>
  <c r="N9" i="1"/>
  <c r="L11" i="1"/>
  <c r="P11" i="1" s="1"/>
  <c r="N4" i="1"/>
  <c r="M5" i="1"/>
  <c r="L24" i="1"/>
  <c r="P24" i="1" s="1"/>
  <c r="M15" i="1"/>
  <c r="M8" i="1"/>
  <c r="L21" i="1"/>
  <c r="P21" i="1" s="1"/>
  <c r="R24" i="1" l="1"/>
  <c r="Q24" i="1"/>
  <c r="Q9" i="1"/>
  <c r="D9" i="2" s="1"/>
  <c r="E9" i="2" s="1"/>
  <c r="R9" i="1"/>
  <c r="Q8" i="1"/>
  <c r="D8" i="2" s="1"/>
  <c r="E8" i="2" s="1"/>
  <c r="R8" i="1"/>
  <c r="Q4" i="1"/>
  <c r="R4" i="1"/>
  <c r="R6" i="1"/>
  <c r="Q6" i="1"/>
  <c r="Q21" i="1"/>
  <c r="R21" i="1"/>
  <c r="Q11" i="1"/>
  <c r="R11" i="1"/>
  <c r="Q5" i="1"/>
  <c r="R5" i="1"/>
  <c r="R23" i="1"/>
  <c r="Q23" i="1"/>
  <c r="Q15" i="1"/>
  <c r="R15" i="1"/>
  <c r="AN4" i="2" l="1"/>
  <c r="BS4" i="2" s="1"/>
  <c r="J4" i="5" s="1"/>
  <c r="J27" i="5" s="1"/>
  <c r="J30" i="5" s="1"/>
  <c r="D4" i="2"/>
  <c r="E4" i="2" s="1"/>
  <c r="F8" i="2"/>
  <c r="AJ8" i="2" s="1"/>
  <c r="CK8" i="2"/>
  <c r="CN8" i="2"/>
  <c r="CM8" i="2"/>
  <c r="CJ8" i="2"/>
  <c r="CL8" i="2"/>
  <c r="F9" i="2"/>
  <c r="AJ9" i="2" s="1"/>
  <c r="CL9" i="2"/>
  <c r="CK9" i="2"/>
  <c r="CN9" i="2"/>
  <c r="CM9" i="2"/>
  <c r="CJ9" i="2"/>
  <c r="D15" i="2"/>
  <c r="E15" i="2" s="1"/>
  <c r="D23" i="2"/>
  <c r="E23" i="2" s="1"/>
  <c r="D5" i="2"/>
  <c r="E5" i="2" s="1"/>
  <c r="D11" i="2"/>
  <c r="E11" i="2" s="1"/>
  <c r="D21" i="2"/>
  <c r="E21" i="2" s="1"/>
  <c r="D6" i="2"/>
  <c r="E6" i="2" s="1"/>
  <c r="D24" i="2"/>
  <c r="E24" i="2" s="1"/>
  <c r="CM24" i="2" l="1"/>
  <c r="CN24" i="2"/>
  <c r="CJ24" i="2"/>
  <c r="F24" i="2"/>
  <c r="AJ24" i="2" s="1"/>
  <c r="CK24" i="2"/>
  <c r="CL24" i="2"/>
  <c r="CN15" i="2"/>
  <c r="CJ15" i="2"/>
  <c r="CK15" i="2"/>
  <c r="F15" i="2"/>
  <c r="AJ15" i="2" s="1"/>
  <c r="CL15" i="2"/>
  <c r="CM15" i="2"/>
  <c r="AK9" i="2"/>
  <c r="BQ9" i="2" s="1"/>
  <c r="BY9" i="2" s="1"/>
  <c r="AK8" i="2"/>
  <c r="BQ8" i="2" s="1"/>
  <c r="BY8" i="2" s="1"/>
  <c r="CO8" i="2"/>
  <c r="T8" i="5" s="1"/>
  <c r="F21" i="2"/>
  <c r="AJ21" i="2" s="1"/>
  <c r="CL21" i="2"/>
  <c r="CM21" i="2"/>
  <c r="CN21" i="2"/>
  <c r="CJ21" i="2"/>
  <c r="CK21" i="2"/>
  <c r="CN5" i="2"/>
  <c r="CM5" i="2"/>
  <c r="CJ5" i="2"/>
  <c r="F5" i="2"/>
  <c r="AJ5" i="2" s="1"/>
  <c r="CL5" i="2"/>
  <c r="CK5" i="2"/>
  <c r="CM6" i="2"/>
  <c r="CJ6" i="2"/>
  <c r="CL6" i="2"/>
  <c r="F6" i="2"/>
  <c r="AJ6" i="2" s="1"/>
  <c r="CK6" i="2"/>
  <c r="CN6" i="2"/>
  <c r="CN11" i="2"/>
  <c r="CJ11" i="2"/>
  <c r="CK11" i="2"/>
  <c r="F11" i="2"/>
  <c r="AJ11" i="2" s="1"/>
  <c r="CL11" i="2"/>
  <c r="CM11" i="2"/>
  <c r="F23" i="2"/>
  <c r="CL23" i="2"/>
  <c r="CM23" i="2"/>
  <c r="CN23" i="2"/>
  <c r="CJ23" i="2"/>
  <c r="CK23" i="2"/>
  <c r="CN4" i="2"/>
  <c r="F4" i="2"/>
  <c r="AJ4" i="2" s="1"/>
  <c r="AK4" i="2" s="1"/>
  <c r="CM4" i="2"/>
  <c r="CK4" i="2"/>
  <c r="CL4" i="2"/>
  <c r="CJ4" i="2"/>
  <c r="CO9" i="2"/>
  <c r="T9" i="5" s="1"/>
  <c r="AJ23" i="2" l="1"/>
  <c r="AI23" i="2"/>
  <c r="AL9" i="2"/>
  <c r="BE9" i="2" s="1"/>
  <c r="CO21" i="2"/>
  <c r="T21" i="5" s="1"/>
  <c r="AL8" i="2"/>
  <c r="BE8" i="2" s="1"/>
  <c r="CO23" i="2"/>
  <c r="T23" i="5" s="1"/>
  <c r="AL4" i="2"/>
  <c r="BE4" i="2" s="1"/>
  <c r="BQ4" i="2"/>
  <c r="BY4" i="2" s="1"/>
  <c r="AK11" i="2"/>
  <c r="BQ11" i="2" s="1"/>
  <c r="BY11" i="2" s="1"/>
  <c r="AK6" i="2"/>
  <c r="BQ6" i="2" s="1"/>
  <c r="BY6" i="2" s="1"/>
  <c r="AK5" i="2"/>
  <c r="BQ5" i="2" s="1"/>
  <c r="BY5" i="2" s="1"/>
  <c r="CO4" i="2"/>
  <c r="T4" i="5" s="1"/>
  <c r="CO11" i="2"/>
  <c r="T11" i="5" s="1"/>
  <c r="CO6" i="2"/>
  <c r="T6" i="5" s="1"/>
  <c r="CO24" i="2"/>
  <c r="T24" i="5" s="1"/>
  <c r="AK21" i="2"/>
  <c r="BQ21" i="2" s="1"/>
  <c r="BY21" i="2" s="1"/>
  <c r="F8" i="5"/>
  <c r="Q8" i="5" s="1"/>
  <c r="BO8" i="2"/>
  <c r="CC8" i="2" s="1"/>
  <c r="F9" i="5"/>
  <c r="Q9" i="5" s="1"/>
  <c r="BO9" i="2"/>
  <c r="CC9" i="2" s="1"/>
  <c r="AK15" i="2"/>
  <c r="BQ15" i="2" s="1"/>
  <c r="BY15" i="2" s="1"/>
  <c r="AK24" i="2"/>
  <c r="BQ24" i="2" s="1"/>
  <c r="BY24" i="2" s="1"/>
  <c r="CO5" i="2"/>
  <c r="T5" i="5" s="1"/>
  <c r="CO15" i="2"/>
  <c r="T15" i="5" s="1"/>
  <c r="AK23" i="2" l="1"/>
  <c r="BQ23" i="2" s="1"/>
  <c r="BY23" i="2" s="1"/>
  <c r="BO4" i="2"/>
  <c r="CC4" i="2" s="1"/>
  <c r="F4" i="5"/>
  <c r="CD9" i="2"/>
  <c r="CE9" i="2" s="1"/>
  <c r="CD8" i="2"/>
  <c r="CE8" i="2" s="1"/>
  <c r="T27" i="5"/>
  <c r="T30" i="5" s="1"/>
  <c r="AL24" i="2"/>
  <c r="BE24" i="2" s="1"/>
  <c r="AL15" i="2"/>
  <c r="BE15" i="2" s="1"/>
  <c r="AL21" i="2"/>
  <c r="BE21" i="2" s="1"/>
  <c r="AL23" i="2"/>
  <c r="BE23" i="2" s="1"/>
  <c r="AL5" i="2"/>
  <c r="BE5" i="2" s="1"/>
  <c r="AL6" i="2"/>
  <c r="BE6" i="2" s="1"/>
  <c r="AL11" i="2"/>
  <c r="BE11" i="2" s="1"/>
  <c r="CF8" i="2" l="1"/>
  <c r="CG8" i="2" s="1"/>
  <c r="S8" i="5" s="1"/>
  <c r="BO6" i="2"/>
  <c r="CC6" i="2" s="1"/>
  <c r="F6" i="5"/>
  <c r="Q6" i="5" s="1"/>
  <c r="F23" i="5"/>
  <c r="Q23" i="5" s="1"/>
  <c r="BO23" i="2"/>
  <c r="CC23" i="2" s="1"/>
  <c r="F15" i="5"/>
  <c r="Q15" i="5" s="1"/>
  <c r="BO15" i="2"/>
  <c r="CC15" i="2" s="1"/>
  <c r="CD4" i="2"/>
  <c r="CE4" i="2" s="1"/>
  <c r="BO11" i="2"/>
  <c r="CC11" i="2" s="1"/>
  <c r="F11" i="5"/>
  <c r="Q11" i="5" s="1"/>
  <c r="F5" i="5"/>
  <c r="Q5" i="5" s="1"/>
  <c r="BO5" i="2"/>
  <c r="CC5" i="2" s="1"/>
  <c r="F21" i="5"/>
  <c r="Q21" i="5" s="1"/>
  <c r="BO21" i="2"/>
  <c r="CC21" i="2" s="1"/>
  <c r="F24" i="5"/>
  <c r="Q24" i="5" s="1"/>
  <c r="BO24" i="2"/>
  <c r="CC24" i="2" s="1"/>
  <c r="Q4" i="5"/>
  <c r="CH8" i="2"/>
  <c r="Y8" i="5" s="1"/>
  <c r="CF9" i="2"/>
  <c r="Z8" i="5" l="1"/>
  <c r="AB8" i="5" s="1"/>
  <c r="CD11" i="2"/>
  <c r="CE11" i="2" s="1"/>
  <c r="CD6" i="2"/>
  <c r="CF6" i="2" s="1"/>
  <c r="CG9" i="2"/>
  <c r="S9" i="5" s="1"/>
  <c r="CH9" i="2"/>
  <c r="Y9" i="5" s="1"/>
  <c r="CD24" i="2"/>
  <c r="CE24" i="2" s="1"/>
  <c r="CD21" i="2"/>
  <c r="CE21" i="2" s="1"/>
  <c r="CD5" i="2"/>
  <c r="CE5" i="2" s="1"/>
  <c r="CD15" i="2"/>
  <c r="CE15" i="2" s="1"/>
  <c r="CD23" i="2"/>
  <c r="CE23" i="2" s="1"/>
  <c r="F27" i="5"/>
  <c r="CF4" i="2"/>
  <c r="CH4" i="2" s="1"/>
  <c r="Y4" i="5" s="1"/>
  <c r="CF5" i="2" l="1"/>
  <c r="CG5" i="2" s="1"/>
  <c r="S5" i="5" s="1"/>
  <c r="CF23" i="2"/>
  <c r="CG23" i="2" s="1"/>
  <c r="S23" i="5" s="1"/>
  <c r="CF24" i="2"/>
  <c r="CG24" i="2" s="1"/>
  <c r="S24" i="5" s="1"/>
  <c r="Z9" i="5"/>
  <c r="AB9" i="5" s="1"/>
  <c r="F30" i="5"/>
  <c r="Q27" i="5"/>
  <c r="Q30" i="5" s="1"/>
  <c r="CG4" i="2"/>
  <c r="S4" i="5" s="1"/>
  <c r="CF15" i="2"/>
  <c r="CF21" i="2"/>
  <c r="CE6" i="2"/>
  <c r="CF11" i="2"/>
  <c r="CH11" i="2" s="1"/>
  <c r="Y11" i="5" s="1"/>
  <c r="CH23" i="2" l="1"/>
  <c r="Y23" i="5" s="1"/>
  <c r="Z23" i="5" s="1"/>
  <c r="AB23" i="5" s="1"/>
  <c r="CH24" i="2"/>
  <c r="Y24" i="5" s="1"/>
  <c r="Z24" i="5" s="1"/>
  <c r="AB24" i="5" s="1"/>
  <c r="CH5" i="2"/>
  <c r="Y5" i="5" s="1"/>
  <c r="Z5" i="5" s="1"/>
  <c r="AB5" i="5" s="1"/>
  <c r="CG11" i="2"/>
  <c r="S11" i="5" s="1"/>
  <c r="Z11" i="5" s="1"/>
  <c r="AB11" i="5" s="1"/>
  <c r="CG6" i="2"/>
  <c r="S6" i="5" s="1"/>
  <c r="CH6" i="2"/>
  <c r="Y6" i="5" s="1"/>
  <c r="CG21" i="2"/>
  <c r="S21" i="5" s="1"/>
  <c r="CH21" i="2"/>
  <c r="Y21" i="5" s="1"/>
  <c r="CG15" i="2"/>
  <c r="S15" i="5" s="1"/>
  <c r="CH15" i="2"/>
  <c r="Y15" i="5" s="1"/>
  <c r="Z4" i="5"/>
  <c r="AB4" i="5" s="1"/>
  <c r="Y27" i="5" l="1"/>
  <c r="Y30" i="5" s="1"/>
  <c r="Z6" i="5"/>
  <c r="AB6" i="5" s="1"/>
  <c r="S27" i="5"/>
  <c r="Z15" i="5"/>
  <c r="AB15" i="5" s="1"/>
  <c r="Z21" i="5"/>
  <c r="AB21" i="5" s="1"/>
  <c r="Z27" i="5" l="1"/>
  <c r="Z30" i="5" s="1"/>
  <c r="S30" i="5"/>
  <c r="AB27" i="5"/>
  <c r="AB30" i="5" s="1"/>
</calcChain>
</file>

<file path=xl/sharedStrings.xml><?xml version="1.0" encoding="utf-8"?>
<sst xmlns="http://schemas.openxmlformats.org/spreadsheetml/2006/main" count="359" uniqueCount="257">
  <si>
    <t>TIPO NOMINA</t>
  </si>
  <si>
    <t>Nombre</t>
  </si>
  <si>
    <t>Días</t>
  </si>
  <si>
    <t>Valor</t>
  </si>
  <si>
    <t>Mensual</t>
  </si>
  <si>
    <t>Quincenal</t>
  </si>
  <si>
    <t>Semanal</t>
  </si>
  <si>
    <t>VARIABLES GENERALES</t>
  </si>
  <si>
    <t>Clave</t>
  </si>
  <si>
    <t>Fecha Inicio de periodo</t>
  </si>
  <si>
    <t>FI</t>
  </si>
  <si>
    <t>Fecha Fin de periodo</t>
  </si>
  <si>
    <t>FF</t>
  </si>
  <si>
    <t>Tipo Nomina</t>
  </si>
  <si>
    <t>Días del Año</t>
  </si>
  <si>
    <t>DA</t>
  </si>
  <si>
    <t>Días del Mes (Natural)</t>
  </si>
  <si>
    <t>DM</t>
  </si>
  <si>
    <t>DS</t>
  </si>
  <si>
    <t>Horas Laborables</t>
  </si>
  <si>
    <t>HL</t>
  </si>
  <si>
    <t>Días de Nomina</t>
  </si>
  <si>
    <t>DN</t>
  </si>
  <si>
    <t>Días Nomina (Calculo)</t>
  </si>
  <si>
    <t>DC</t>
  </si>
  <si>
    <t>Días de Bimestre (Infonavit)</t>
  </si>
  <si>
    <t>DI</t>
  </si>
  <si>
    <t>( IS ) Inicio de Semana</t>
  </si>
  <si>
    <t>Lunes</t>
  </si>
  <si>
    <t>Dias de Aguinaldo</t>
  </si>
  <si>
    <t>AG</t>
  </si>
  <si>
    <t>Prima Vacacional</t>
  </si>
  <si>
    <t>Pv</t>
  </si>
  <si>
    <t>Salario Minimo General</t>
  </si>
  <si>
    <t>SMG</t>
  </si>
  <si>
    <t>Unidad de Medida y Actual.</t>
  </si>
  <si>
    <t>UMA</t>
  </si>
  <si>
    <t>Unidad de Medida Infonavit</t>
  </si>
  <si>
    <t>UMI</t>
  </si>
  <si>
    <t>Seguro de Daños de Vivienda</t>
  </si>
  <si>
    <t>SDV</t>
  </si>
  <si>
    <t>Tres Salarios Mínimos</t>
  </si>
  <si>
    <t>ExS</t>
  </si>
  <si>
    <t>Factor para calculo de ISR</t>
  </si>
  <si>
    <t>FCI</t>
  </si>
  <si>
    <t>CUOTAS IMSS, SAR E INFONAVIT</t>
  </si>
  <si>
    <t>Concepto</t>
  </si>
  <si>
    <t>% Patrón</t>
  </si>
  <si>
    <t>% Obrero</t>
  </si>
  <si>
    <t>Riesgo de Trabajo</t>
  </si>
  <si>
    <t>RT</t>
  </si>
  <si>
    <t>Cuota Fija</t>
  </si>
  <si>
    <t>CF</t>
  </si>
  <si>
    <t>Cuota Excedente</t>
  </si>
  <si>
    <t>CE</t>
  </si>
  <si>
    <t>Gastos médicos pensionarios</t>
  </si>
  <si>
    <t>GMP</t>
  </si>
  <si>
    <t>Prestaciones en Dinero</t>
  </si>
  <si>
    <t>PD</t>
  </si>
  <si>
    <t>Invalidez y Vida</t>
  </si>
  <si>
    <t>IV</t>
  </si>
  <si>
    <t>Seguro de Retiro</t>
  </si>
  <si>
    <t>SR</t>
  </si>
  <si>
    <t>Cesantía y Vejez</t>
  </si>
  <si>
    <t>CV</t>
  </si>
  <si>
    <t>Guarderías y Prest. Sociales</t>
  </si>
  <si>
    <t>GPS</t>
  </si>
  <si>
    <t>INFONAVIT</t>
  </si>
  <si>
    <t>IN</t>
  </si>
  <si>
    <t>Tope cuotas</t>
  </si>
  <si>
    <t>TC</t>
  </si>
  <si>
    <t>TABLA DE VACACIONES</t>
  </si>
  <si>
    <t>Años</t>
  </si>
  <si>
    <t>Dias</t>
  </si>
  <si>
    <t>Prima</t>
  </si>
  <si>
    <t>ISR MENSUAL</t>
  </si>
  <si>
    <t>Límite Inf</t>
  </si>
  <si>
    <t>Cuota</t>
  </si>
  <si>
    <t>Tasa</t>
  </si>
  <si>
    <t>ISR ANUAL</t>
  </si>
  <si>
    <t>SUBSIDIO ISR</t>
  </si>
  <si>
    <t>Tipo Nomina:</t>
  </si>
  <si>
    <t>Numero de Nomina:</t>
  </si>
  <si>
    <t>Fechas de Nomina:</t>
  </si>
  <si>
    <t>al:</t>
  </si>
  <si>
    <t>SEMANAL</t>
  </si>
  <si>
    <t>Inicio</t>
  </si>
  <si>
    <t>Fin</t>
  </si>
  <si>
    <t>QUINCENAL</t>
  </si>
  <si>
    <t>Num.</t>
  </si>
  <si>
    <t>MENSUAL</t>
  </si>
  <si>
    <t>Num</t>
  </si>
  <si>
    <t>DATOS DEL EMPLEADO</t>
  </si>
  <si>
    <t>RFC</t>
  </si>
  <si>
    <t>CURP</t>
  </si>
  <si>
    <t>IMSS</t>
  </si>
  <si>
    <t>GARCIA RIVERA JESUS IGNACIO</t>
  </si>
  <si>
    <t>ROBLERO DE LEON AZAEL</t>
  </si>
  <si>
    <t>ESCOBAR PERALTA PEDRO MATEO</t>
  </si>
  <si>
    <t>CALDERON GALLEGOS GILBERTO</t>
  </si>
  <si>
    <t>FLORES GONZALEZ BENITO</t>
  </si>
  <si>
    <t>ALQUEZADA MORAN MIGUEL</t>
  </si>
  <si>
    <t>MANZANO PEREZ MARGARITO</t>
  </si>
  <si>
    <t>CRUZ PASTRANA JOSE CARMEN</t>
  </si>
  <si>
    <t>JUAREZ MUÑOZ GERARDO</t>
  </si>
  <si>
    <t>JAVIER LOPEZ ALFREDO</t>
  </si>
  <si>
    <t>ALBARRAN ROMERO GERARDO</t>
  </si>
  <si>
    <t>VEGA CARREON JOSE LUIS</t>
  </si>
  <si>
    <t>OJEDA MANZANO CARMELO</t>
  </si>
  <si>
    <t>MUÑOZ SUAREZ JOSE JULIO</t>
  </si>
  <si>
    <t>LARA GONZALEZ SAUL</t>
  </si>
  <si>
    <t>BELTRAN MEDINA JUAN SIMON</t>
  </si>
  <si>
    <t>LUNA ALBA ESTEBAN</t>
  </si>
  <si>
    <t>GUTIERREZ VAZQUEZ JOSE</t>
  </si>
  <si>
    <t>ESTRADA HERNANDEZ ARTURO</t>
  </si>
  <si>
    <t>MARIN HERNANDEZ VICTOR IVAN</t>
  </si>
  <si>
    <t>VAZQUEZ ALVARADO HILARIO</t>
  </si>
  <si>
    <t>GARJ810816HDFRVS00</t>
  </si>
  <si>
    <t>ROLA730416HCCBNZ01</t>
  </si>
  <si>
    <t>EOPP520926HMCSRD00</t>
  </si>
  <si>
    <t>CAGG860804HOCLLL09</t>
  </si>
  <si>
    <t>FOGB711231HDFLNN07</t>
  </si>
  <si>
    <t>AUMM870930HPLLRG00</t>
  </si>
  <si>
    <t>MAPM870712HOCNRR06</t>
  </si>
  <si>
    <t>CUPC760327HMCRSR07</t>
  </si>
  <si>
    <t>JUMG860701HDFRXR06</t>
  </si>
  <si>
    <t>LOGA930401HDFPTL03</t>
  </si>
  <si>
    <t>AARG901117HDFLMR06</t>
  </si>
  <si>
    <t>VECL-720829-EQ4</t>
  </si>
  <si>
    <t>VECL720829HDFGRS00</t>
  </si>
  <si>
    <t>OEMC-960716-1U2</t>
  </si>
  <si>
    <t>OEMC960716HOCJNR01</t>
  </si>
  <si>
    <t>MUSJ-840704-UVA</t>
  </si>
  <si>
    <t>MUSJ840704HDFXRL09</t>
  </si>
  <si>
    <t>LAGS-521025-T84</t>
  </si>
  <si>
    <t>LAGS521025HDFRNL06</t>
  </si>
  <si>
    <t>BEMJ-901027-D21</t>
  </si>
  <si>
    <t>BEMJ901027HDFLDN03</t>
  </si>
  <si>
    <t>LUAE-761130-INA</t>
  </si>
  <si>
    <t>LUAE761130HDFNLS11</t>
  </si>
  <si>
    <t>GUVJ-910722-5W1</t>
  </si>
  <si>
    <t>GUVJ910722HVZTZS07</t>
  </si>
  <si>
    <t>EAHA-870511-GI7</t>
  </si>
  <si>
    <t>EAHA870511HQTSRR03</t>
  </si>
  <si>
    <t>MAHV-930722-426</t>
  </si>
  <si>
    <t>MAHV930722HDFRRC07</t>
  </si>
  <si>
    <t>VAAH-801121-NM6</t>
  </si>
  <si>
    <t>VAAH801121HVZZLL02</t>
  </si>
  <si>
    <t>GARJ810816GN1</t>
  </si>
  <si>
    <t>ROLA730416815</t>
  </si>
  <si>
    <t>EOPP520926SP4</t>
  </si>
  <si>
    <t>CAGG860804AD6</t>
  </si>
  <si>
    <t>FOGB711231E38</t>
  </si>
  <si>
    <t>AUMM870930NK6</t>
  </si>
  <si>
    <t>MAPM870712HY5</t>
  </si>
  <si>
    <t>CUPC760327V53</t>
  </si>
  <si>
    <t>JUMG860701NGA</t>
  </si>
  <si>
    <t>LOGA930401UC1</t>
  </si>
  <si>
    <t>AARG9011177L5</t>
  </si>
  <si>
    <t>DATOS CONTRATACION</t>
  </si>
  <si>
    <t>F. alta</t>
  </si>
  <si>
    <t>Sueldo</t>
  </si>
  <si>
    <t>Estatus</t>
  </si>
  <si>
    <t>F. baja</t>
  </si>
  <si>
    <t>Alta</t>
  </si>
  <si>
    <t>Baja</t>
  </si>
  <si>
    <t>ANTIGUEDAD</t>
  </si>
  <si>
    <t>PRESTACIONES</t>
  </si>
  <si>
    <t>Periodo</t>
  </si>
  <si>
    <t>Dias Vac.</t>
  </si>
  <si>
    <t>Aguinaldo</t>
  </si>
  <si>
    <t>Factor</t>
  </si>
  <si>
    <t>SDI</t>
  </si>
  <si>
    <t>x Hora</t>
  </si>
  <si>
    <t>Jornada</t>
  </si>
  <si>
    <t>Incap</t>
  </si>
  <si>
    <t>Falta</t>
  </si>
  <si>
    <t>Real</t>
  </si>
  <si>
    <t>DIAS LABORADOS</t>
  </si>
  <si>
    <t>DATOS TRABAJADOR</t>
  </si>
  <si>
    <t>Variables y Datos para el Calculo de Nomina</t>
  </si>
  <si>
    <t>Dias laborabes x Semana</t>
  </si>
  <si>
    <t>Listado General de Empleados</t>
  </si>
  <si>
    <t>Comisiones</t>
  </si>
  <si>
    <t>Numero de Horas Extras</t>
  </si>
  <si>
    <t>% Sueldo x Despensa</t>
  </si>
  <si>
    <t>% Sueldo x Asistencia</t>
  </si>
  <si>
    <t>% Sueldo x Puntualidad</t>
  </si>
  <si>
    <t>Prima Dominical</t>
  </si>
  <si>
    <t>Otros Ingresos G</t>
  </si>
  <si>
    <t>Otros Ingresos E</t>
  </si>
  <si>
    <t>Tipo</t>
  </si>
  <si>
    <t>Crédito Fonacot</t>
  </si>
  <si>
    <t>Crédito Infonavit</t>
  </si>
  <si>
    <t>Préstamo Personal</t>
  </si>
  <si>
    <t>Pensión Alimenticia</t>
  </si>
  <si>
    <t>Otros Descuentos</t>
  </si>
  <si>
    <t>Calculo de Horas Extras</t>
  </si>
  <si>
    <t>Dobles Grab.</t>
  </si>
  <si>
    <t>Dobles Exentas</t>
  </si>
  <si>
    <t>1 SMG</t>
  </si>
  <si>
    <t>Excendente</t>
  </si>
  <si>
    <t>Despensa</t>
  </si>
  <si>
    <t>Asistencia</t>
  </si>
  <si>
    <t>Puntualidad</t>
  </si>
  <si>
    <t>Triples Grab.</t>
  </si>
  <si>
    <t>P. Vac Exent</t>
  </si>
  <si>
    <t>P. Vac Grab</t>
  </si>
  <si>
    <t>Vacaciones</t>
  </si>
  <si>
    <t>Pd</t>
  </si>
  <si>
    <t>P.Dom Exent</t>
  </si>
  <si>
    <t>P.Dom Grab</t>
  </si>
  <si>
    <t>Desp Excent</t>
  </si>
  <si>
    <t>Desp Grab</t>
  </si>
  <si>
    <t>Asis Exent</t>
  </si>
  <si>
    <t>Asis Grab</t>
  </si>
  <si>
    <t>Punt Grab</t>
  </si>
  <si>
    <t>Punt Exent</t>
  </si>
  <si>
    <t>TOTAL INGRESOS GRABABLES</t>
  </si>
  <si>
    <t>Comision</t>
  </si>
  <si>
    <t>H. E. 2</t>
  </si>
  <si>
    <t>H. E. 3</t>
  </si>
  <si>
    <t>P. Vac.</t>
  </si>
  <si>
    <t>P. Dominical</t>
  </si>
  <si>
    <t>Otros I. G.</t>
  </si>
  <si>
    <t>Suma</t>
  </si>
  <si>
    <t>Aguin Exent</t>
  </si>
  <si>
    <t>Aguin Grab</t>
  </si>
  <si>
    <t>TOTAL INGRESOS EXENTOS</t>
  </si>
  <si>
    <t>Otros I. E.</t>
  </si>
  <si>
    <t>CALCULO DE ISR</t>
  </si>
  <si>
    <t>Ing. Grab.</t>
  </si>
  <si>
    <t>Base</t>
  </si>
  <si>
    <t>Marginal</t>
  </si>
  <si>
    <t>Credito</t>
  </si>
  <si>
    <t>ISR</t>
  </si>
  <si>
    <t>Subsidio</t>
  </si>
  <si>
    <t>CUOTAS IMSS</t>
  </si>
  <si>
    <t>CREDITOS INFONAVIT</t>
  </si>
  <si>
    <t>#VSM</t>
  </si>
  <si>
    <t>%</t>
  </si>
  <si>
    <t>Importe</t>
  </si>
  <si>
    <t>BIMESTRES</t>
  </si>
  <si>
    <t>Bimestre:</t>
  </si>
  <si>
    <t>Dias:</t>
  </si>
  <si>
    <t>Pima Vac.</t>
  </si>
  <si>
    <t>DETALLE DE INGRESOS</t>
  </si>
  <si>
    <t>Horas Ex 2</t>
  </si>
  <si>
    <t>Horas Ex 3</t>
  </si>
  <si>
    <t>Préstamo</t>
  </si>
  <si>
    <t>Pensión</t>
  </si>
  <si>
    <t>Fonacot</t>
  </si>
  <si>
    <t>Infonavit</t>
  </si>
  <si>
    <t>DETALLE DE DESCUENTOS</t>
  </si>
  <si>
    <t>Inicia Calculo de Ingresos y Descuentos</t>
  </si>
  <si>
    <t>NETO</t>
  </si>
  <si>
    <t>Cifras de Cuadre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</si>
</sst>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00000"/>
    <numFmt numFmtId="165" formatCode="dd\-mmm\-yyyy"/>
    <numFmt numFmtId="166" formatCode="#,##0.00_ ;[Red]\-#,##0.00\ "/>
    <numFmt numFmtId="167" formatCode="0000\-00\-0000\-0"/>
    <numFmt numFmtId="168" formatCode="_-&quot;$&quot;* #,##0.00;[Red]\-&quot;$&quot;* #,##0.00;"/>
    <numFmt numFmtId="169" formatCode="##0.######;##0.000000;"/>
    <numFmt numFmtId="170" formatCode="##0;##0;"/>
    <numFmt numFmtId="171" formatCode="##0.0000;##0.0000;"/>
    <numFmt numFmtId="172" formatCode="#,##0.000_ ;[Red]\-#,##0.000\ "/>
    <numFmt numFmtId="173" formatCode="_-&quot;$&quot;* #,##0.00_-;[Red]\-&quot;$&quot;* #,##0.00_-;_-&quot;$&quot;* 0.00_-;_-@_-"/>
  </numFmts>
  <fonts count="26" x14ac:knownFonts="1">
    <font>
      <sz val="9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3" tint="-0.249977111117893"/>
      <name val="Arial"/>
      <family val="2"/>
    </font>
    <font>
      <sz val="8"/>
      <color theme="3" tint="-0.249977111117893"/>
      <name val="Arial"/>
      <family val="2"/>
    </font>
    <font>
      <b/>
      <sz val="8"/>
      <color theme="1"/>
      <name val="Arial"/>
      <family val="2"/>
    </font>
    <font>
      <b/>
      <sz val="9"/>
      <color theme="3" tint="-0.249977111117893"/>
      <name val="Arial"/>
      <family val="2"/>
    </font>
    <font>
      <sz val="16"/>
      <color theme="3" tint="-0.249977111117893"/>
      <name val="Arial"/>
      <family val="2"/>
    </font>
    <font>
      <b/>
      <sz val="16"/>
      <color theme="3" tint="-0.249977111117893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b/>
      <sz val="10"/>
      <color theme="1"/>
      <name val="Arial"/>
      <family val="2"/>
    </font>
    <font>
      <sz val="18"/>
      <color theme="1"/>
      <name val="Arial"/>
      <family val="2"/>
    </font>
    <font>
      <b/>
      <sz val="8"/>
      <color theme="6" tint="-0.499984740745262"/>
      <name val="Arial"/>
      <family val="2"/>
    </font>
    <font>
      <b/>
      <sz val="8"/>
      <color rgb="FFC00000"/>
      <name val="Arial"/>
      <family val="2"/>
    </font>
    <font>
      <b/>
      <sz val="8"/>
      <color theme="8" tint="-0.499984740745262"/>
      <name val="Arial"/>
      <family val="2"/>
    </font>
    <font>
      <sz val="8"/>
      <color theme="6" tint="-0.499984740745262"/>
      <name val="Arial"/>
      <family val="2"/>
    </font>
    <font>
      <sz val="8"/>
      <color theme="7" tint="-0.499984740745262"/>
      <name val="Arial"/>
      <family val="2"/>
    </font>
    <font>
      <b/>
      <sz val="8"/>
      <color theme="7" tint="-0.499984740745262"/>
      <name val="Arial"/>
      <family val="2"/>
    </font>
    <font>
      <sz val="8"/>
      <color theme="8" tint="-0.499984740745262"/>
      <name val="Arial"/>
      <family val="2"/>
    </font>
    <font>
      <sz val="8"/>
      <color theme="9" tint="-0.499984740745262"/>
      <name val="Arial"/>
      <family val="2"/>
    </font>
    <font>
      <b/>
      <sz val="8"/>
      <color theme="9" tint="-0.499984740745262"/>
      <name val="Arial"/>
      <family val="2"/>
    </font>
    <font>
      <b/>
      <sz val="8"/>
      <color theme="2" tint="-0.89996032593768116"/>
      <name val="Arial"/>
      <family val="2"/>
    </font>
    <font>
      <sz val="8"/>
      <color theme="2" tint="-0.89996032593768116"/>
      <name val="Arial"/>
      <family val="2"/>
    </font>
    <font>
      <b/>
      <sz val="8"/>
      <name val="Arial"/>
      <family val="2"/>
    </font>
    <font>
      <b/>
      <sz val="9"/>
      <name val="Arial"/>
      <family val="2"/>
    </font>
  </fonts>
  <fills count="17">
    <fill>
      <patternFill patternType="none"/>
    </fill>
    <fill>
      <patternFill patternType="gray125"/>
    </fill>
    <fill>
      <gradientFill degree="270">
        <stop position="0">
          <color theme="4" tint="0.80001220740379042"/>
        </stop>
        <stop position="1">
          <color theme="4" tint="0.40000610370189521"/>
        </stop>
      </gradientFill>
    </fill>
    <fill>
      <gradientFill degree="270">
        <stop position="0">
          <color theme="3" tint="0.80001220740379042"/>
        </stop>
        <stop position="1">
          <color theme="3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theme="2"/>
        <bgColor auto="1"/>
      </patternFill>
    </fill>
    <fill>
      <gradientFill degree="270">
        <stop position="0">
          <color theme="5" tint="0.80001220740379042"/>
        </stop>
        <stop position="1">
          <color theme="5" tint="0.40000610370189521"/>
        </stop>
      </gradientFill>
    </fill>
    <fill>
      <gradientFill degree="270">
        <stop position="0">
          <color theme="6" tint="0.59999389629810485"/>
        </stop>
        <stop position="1">
          <color theme="6" tint="-0.25098422193060094"/>
        </stop>
      </gradientFill>
    </fill>
    <fill>
      <gradientFill degree="90">
        <stop position="0">
          <color theme="7" tint="0.80001220740379042"/>
        </stop>
        <stop position="1">
          <color theme="7" tint="0.40000610370189521"/>
        </stop>
      </gradientFill>
    </fill>
    <fill>
      <gradientFill degree="90">
        <stop position="0">
          <color theme="8" tint="0.80001220740379042"/>
        </stop>
        <stop position="1">
          <color theme="8" tint="0.40000610370189521"/>
        </stop>
      </gradientFill>
    </fill>
    <fill>
      <gradientFill degree="90">
        <stop position="0">
          <color theme="9" tint="0.80001220740379042"/>
        </stop>
        <stop position="1">
          <color theme="9" tint="0.40000610370189521"/>
        </stop>
      </gradientFill>
    </fill>
    <fill>
      <gradientFill degree="90">
        <stop position="0">
          <color theme="2" tint="-9.8025452436902985E-2"/>
        </stop>
        <stop position="1">
          <color theme="2" tint="-0.49803155613879818"/>
        </stop>
      </gradientFill>
    </fill>
    <fill>
      <gradientFill degree="90">
        <stop position="0">
          <color theme="6" tint="0.80001220740379042"/>
        </stop>
        <stop position="1">
          <color rgb="FF92D050"/>
        </stop>
      </gradientFill>
    </fill>
    <fill>
      <gradientFill degree="90">
        <stop position="0">
          <color theme="9" tint="0.80001220740379042"/>
        </stop>
        <stop position="1">
          <color rgb="FFFFC000"/>
        </stop>
      </gradientFill>
    </fill>
    <fill>
      <gradientFill degree="270">
        <stop position="0">
          <color rgb="FFFFC000"/>
        </stop>
        <stop position="1">
          <color rgb="FFFFFF66"/>
        </stop>
      </gradientFill>
    </fill>
    <fill>
      <gradientFill degree="270">
        <stop position="0">
          <color theme="8" tint="0.40000610370189521"/>
        </stop>
        <stop position="1">
          <color theme="8" tint="0.80001220740379042"/>
        </stop>
      </gradient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theme="8" tint="-0.499984740745262"/>
      </top>
      <bottom/>
      <diagonal/>
    </border>
    <border>
      <left style="dotted">
        <color theme="7" tint="-0.499984740745262"/>
      </left>
      <right/>
      <top/>
      <bottom/>
      <diagonal/>
    </border>
    <border>
      <left/>
      <right style="dotted">
        <color theme="7" tint="-0.499984740745262"/>
      </right>
      <top/>
      <bottom/>
      <diagonal/>
    </border>
    <border>
      <left style="dotted">
        <color theme="8" tint="-0.499984740745262"/>
      </left>
      <right style="dotted">
        <color theme="8" tint="-0.499984740745262"/>
      </right>
      <top/>
      <bottom/>
      <diagonal/>
    </border>
    <border>
      <left style="dotted">
        <color theme="9" tint="-0.499984740745262"/>
      </left>
      <right/>
      <top/>
      <bottom/>
      <diagonal/>
    </border>
    <border>
      <left/>
      <right style="dotted">
        <color theme="9" tint="-0.499984740745262"/>
      </right>
      <top/>
      <bottom/>
      <diagonal/>
    </border>
    <border>
      <left style="dotted">
        <color theme="5" tint="-0.499984740745262"/>
      </left>
      <right style="dotted">
        <color theme="5" tint="-0.499984740745262"/>
      </right>
      <top/>
      <bottom/>
      <diagonal/>
    </border>
    <border>
      <left/>
      <right/>
      <top style="thin">
        <color indexed="64"/>
      </top>
      <bottom/>
      <diagonal/>
    </border>
    <border>
      <left style="dotted">
        <color theme="5" tint="-0.499984740745262"/>
      </left>
      <right/>
      <top/>
      <bottom/>
      <diagonal/>
    </border>
    <border>
      <left/>
      <right style="dotted">
        <color theme="5" tint="-0.499984740745262"/>
      </right>
      <top/>
      <bottom/>
      <diagonal/>
    </border>
    <border>
      <left style="dotted">
        <color theme="8" tint="-0.499984740745262"/>
      </left>
      <right/>
      <top/>
      <bottom/>
      <diagonal/>
    </border>
    <border>
      <left/>
      <right style="dotted">
        <color theme="8" tint="-0.499984740745262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/>
    <xf numFmtId="44" fontId="2" fillId="0" borderId="0" xfId="2" applyFont="1"/>
    <xf numFmtId="165" fontId="2" fillId="0" borderId="0" xfId="0" applyNumberFormat="1" applyFont="1"/>
    <xf numFmtId="166" fontId="2" fillId="0" borderId="0" xfId="0" applyNumberFormat="1" applyFont="1"/>
    <xf numFmtId="0" fontId="4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2" borderId="1" xfId="0" applyNumberFormat="1" applyFont="1" applyFill="1" applyBorder="1" applyAlignment="1">
      <alignment vertical="center" wrapText="1"/>
    </xf>
    <xf numFmtId="0" fontId="4" fillId="2" borderId="0" xfId="0" applyNumberFormat="1" applyFont="1" applyFill="1" applyBorder="1" applyAlignment="1">
      <alignment vertical="center" wrapText="1"/>
    </xf>
    <xf numFmtId="167" fontId="0" fillId="0" borderId="0" xfId="0" applyNumberFormat="1"/>
    <xf numFmtId="0" fontId="0" fillId="0" borderId="0" xfId="0"/>
    <xf numFmtId="0" fontId="4" fillId="3" borderId="0" xfId="0" applyNumberFormat="1" applyFont="1" applyFill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168" fontId="1" fillId="0" borderId="0" xfId="0" applyNumberFormat="1" applyFont="1" applyFill="1"/>
    <xf numFmtId="169" fontId="1" fillId="0" borderId="0" xfId="1" applyNumberFormat="1" applyFont="1" applyFill="1" applyAlignment="1">
      <alignment horizontal="center"/>
    </xf>
    <xf numFmtId="170" fontId="1" fillId="0" borderId="0" xfId="1" applyNumberFormat="1" applyFont="1" applyFill="1" applyAlignment="1">
      <alignment horizontal="center"/>
    </xf>
    <xf numFmtId="0" fontId="0" fillId="0" borderId="0" xfId="0" applyFill="1"/>
    <xf numFmtId="171" fontId="1" fillId="0" borderId="0" xfId="1" applyNumberFormat="1" applyFont="1" applyFill="1" applyAlignment="1">
      <alignment horizont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4" fillId="2" borderId="0" xfId="0" applyNumberFormat="1" applyFont="1" applyFill="1" applyBorder="1" applyAlignment="1">
      <alignment horizontal="center" vertical="center" wrapText="1"/>
    </xf>
    <xf numFmtId="0" fontId="17" fillId="8" borderId="0" xfId="0" applyFont="1" applyFill="1" applyAlignment="1">
      <alignment horizontal="center"/>
    </xf>
    <xf numFmtId="0" fontId="17" fillId="8" borderId="2" xfId="0" applyFont="1" applyFill="1" applyBorder="1" applyAlignment="1">
      <alignment horizontal="center"/>
    </xf>
    <xf numFmtId="0" fontId="17" fillId="8" borderId="3" xfId="0" applyFont="1" applyFill="1" applyBorder="1" applyAlignment="1">
      <alignment horizontal="center"/>
    </xf>
    <xf numFmtId="0" fontId="19" fillId="9" borderId="4" xfId="0" applyFont="1" applyFill="1" applyBorder="1" applyAlignment="1">
      <alignment horizontal="center"/>
    </xf>
    <xf numFmtId="0" fontId="20" fillId="10" borderId="0" xfId="0" applyFont="1" applyFill="1" applyAlignment="1">
      <alignment horizontal="center"/>
    </xf>
    <xf numFmtId="0" fontId="23" fillId="11" borderId="0" xfId="0" applyFont="1" applyFill="1" applyAlignment="1">
      <alignment horizontal="center"/>
    </xf>
    <xf numFmtId="164" fontId="2" fillId="0" borderId="0" xfId="0" applyNumberFormat="1" applyFont="1" applyAlignment="1">
      <alignment horizontal="center"/>
    </xf>
    <xf numFmtId="10" fontId="2" fillId="0" borderId="0" xfId="3" applyNumberFormat="1" applyFont="1"/>
    <xf numFmtId="0" fontId="16" fillId="12" borderId="0" xfId="0" applyFont="1" applyFill="1" applyAlignment="1">
      <alignment horizontal="center"/>
    </xf>
    <xf numFmtId="0" fontId="22" fillId="11" borderId="0" xfId="0" applyFont="1" applyFill="1" applyAlignment="1">
      <alignment horizontal="center"/>
    </xf>
    <xf numFmtId="0" fontId="21" fillId="13" borderId="0" xfId="0" applyFont="1" applyFill="1" applyAlignment="1">
      <alignment horizontal="center"/>
    </xf>
    <xf numFmtId="0" fontId="13" fillId="12" borderId="0" xfId="0" applyFont="1" applyFill="1" applyAlignment="1">
      <alignment horizontal="center"/>
    </xf>
    <xf numFmtId="0" fontId="14" fillId="6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8" fontId="2" fillId="0" borderId="0" xfId="0" applyNumberFormat="1" applyFont="1" applyFill="1"/>
    <xf numFmtId="0" fontId="19" fillId="15" borderId="0" xfId="0" applyNumberFormat="1" applyFont="1" applyFill="1" applyBorder="1" applyAlignment="1">
      <alignment horizontal="center" vertical="center"/>
    </xf>
    <xf numFmtId="0" fontId="0" fillId="4" borderId="0" xfId="0" applyFill="1" applyBorder="1" applyAlignment="1"/>
    <xf numFmtId="0" fontId="0" fillId="0" borderId="0" xfId="0" applyFill="1" applyAlignment="1">
      <alignment horizontal="center"/>
    </xf>
    <xf numFmtId="167" fontId="0" fillId="0" borderId="0" xfId="0" applyNumberFormat="1" applyFill="1"/>
    <xf numFmtId="14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172" fontId="0" fillId="0" borderId="0" xfId="0" applyNumberFormat="1" applyFill="1" applyAlignment="1"/>
    <xf numFmtId="172" fontId="0" fillId="0" borderId="0" xfId="0" applyNumberFormat="1" applyFill="1" applyAlignment="1">
      <alignment horizontal="center"/>
    </xf>
    <xf numFmtId="172" fontId="2" fillId="0" borderId="0" xfId="0" applyNumberFormat="1" applyFont="1" applyFill="1" applyAlignment="1"/>
    <xf numFmtId="168" fontId="5" fillId="0" borderId="8" xfId="0" applyNumberFormat="1" applyFont="1" applyFill="1" applyBorder="1"/>
    <xf numFmtId="0" fontId="12" fillId="0" borderId="0" xfId="0" applyFont="1" applyFill="1"/>
    <xf numFmtId="0" fontId="9" fillId="0" borderId="0" xfId="0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0" fillId="0" borderId="0" xfId="0" applyFill="1" applyBorder="1" applyAlignment="1"/>
    <xf numFmtId="0" fontId="11" fillId="0" borderId="0" xfId="0" applyFont="1" applyFill="1" applyAlignment="1">
      <alignment vertical="center"/>
    </xf>
    <xf numFmtId="0" fontId="0" fillId="0" borderId="0" xfId="0" applyFill="1" applyAlignment="1">
      <alignment horizontal="right" vertical="center"/>
    </xf>
    <xf numFmtId="0" fontId="11" fillId="16" borderId="0" xfId="0" applyFont="1" applyFill="1" applyAlignment="1">
      <alignment horizontal="center" vertical="center"/>
    </xf>
    <xf numFmtId="173" fontId="2" fillId="0" borderId="8" xfId="0" applyNumberFormat="1" applyFont="1" applyFill="1" applyBorder="1"/>
    <xf numFmtId="165" fontId="25" fillId="0" borderId="0" xfId="0" applyNumberFormat="1" applyFont="1" applyFill="1" applyBorder="1" applyAlignment="1">
      <alignment horizontal="center" vertical="center"/>
    </xf>
    <xf numFmtId="0" fontId="3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21" fillId="13" borderId="5" xfId="0" applyFont="1" applyFill="1" applyBorder="1" applyAlignment="1">
      <alignment horizontal="center"/>
    </xf>
    <xf numFmtId="0" fontId="21" fillId="13" borderId="0" xfId="0" applyFont="1" applyFill="1" applyBorder="1" applyAlignment="1">
      <alignment horizontal="center"/>
    </xf>
    <xf numFmtId="0" fontId="20" fillId="13" borderId="5" xfId="0" applyFont="1" applyFill="1" applyBorder="1" applyAlignment="1">
      <alignment horizontal="center"/>
    </xf>
    <xf numFmtId="0" fontId="20" fillId="13" borderId="6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22" fillId="11" borderId="0" xfId="0" applyFont="1" applyFill="1" applyAlignment="1">
      <alignment horizontal="center"/>
    </xf>
    <xf numFmtId="0" fontId="13" fillId="12" borderId="0" xfId="0" applyFont="1" applyFill="1" applyAlignment="1">
      <alignment horizontal="center"/>
    </xf>
    <xf numFmtId="0" fontId="15" fillId="9" borderId="11" xfId="0" applyFont="1" applyFill="1" applyBorder="1" applyAlignment="1">
      <alignment horizontal="center"/>
    </xf>
    <xf numFmtId="0" fontId="15" fillId="9" borderId="0" xfId="0" applyFont="1" applyFill="1" applyBorder="1" applyAlignment="1">
      <alignment horizontal="center"/>
    </xf>
    <xf numFmtId="0" fontId="15" fillId="9" borderId="12" xfId="0" applyFont="1" applyFill="1" applyBorder="1" applyAlignment="1">
      <alignment horizontal="center"/>
    </xf>
    <xf numFmtId="0" fontId="21" fillId="10" borderId="0" xfId="0" applyFont="1" applyFill="1" applyAlignment="1">
      <alignment horizontal="center"/>
    </xf>
    <xf numFmtId="0" fontId="18" fillId="8" borderId="2" xfId="0" applyFont="1" applyFill="1" applyBorder="1" applyAlignment="1">
      <alignment horizontal="center"/>
    </xf>
    <xf numFmtId="0" fontId="18" fillId="8" borderId="3" xfId="0" applyFont="1" applyFill="1" applyBorder="1" applyAlignment="1">
      <alignment horizontal="center"/>
    </xf>
    <xf numFmtId="0" fontId="14" fillId="6" borderId="0" xfId="0" applyNumberFormat="1" applyFont="1" applyFill="1" applyBorder="1" applyAlignment="1">
      <alignment horizontal="center" vertical="center" wrapText="1"/>
    </xf>
    <xf numFmtId="0" fontId="18" fillId="8" borderId="0" xfId="0" applyFont="1" applyFill="1" applyAlignment="1">
      <alignment horizontal="center"/>
    </xf>
    <xf numFmtId="0" fontId="14" fillId="6" borderId="9" xfId="0" applyNumberFormat="1" applyFont="1" applyFill="1" applyBorder="1" applyAlignment="1">
      <alignment horizontal="center" vertical="center" wrapText="1"/>
    </xf>
    <xf numFmtId="0" fontId="14" fillId="6" borderId="10" xfId="0" applyNumberFormat="1" applyFont="1" applyFill="1" applyBorder="1" applyAlignment="1">
      <alignment horizontal="center" vertical="center" wrapText="1"/>
    </xf>
    <xf numFmtId="0" fontId="14" fillId="6" borderId="7" xfId="0" applyNumberFormat="1" applyFont="1" applyFill="1" applyBorder="1" applyAlignment="1">
      <alignment horizontal="center" vertical="center" wrapText="1"/>
    </xf>
    <xf numFmtId="0" fontId="15" fillId="7" borderId="0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15" fillId="15" borderId="0" xfId="0" applyNumberFormat="1" applyFont="1" applyFill="1" applyBorder="1" applyAlignment="1">
      <alignment horizontal="center" vertical="center"/>
    </xf>
    <xf numFmtId="0" fontId="24" fillId="14" borderId="0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vertical="center" wrapText="1"/>
    </xf>
  </cellXfs>
  <cellStyles count="4">
    <cellStyle name="Millares" xfId="1" builtinId="3"/>
    <cellStyle name="Moneda" xfId="2" builtinId="4"/>
    <cellStyle name="Normal" xfId="0" builtinId="0"/>
    <cellStyle name="Porcentaje" xfId="3" builtinId="5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24"/>
  <sheetViews>
    <sheetView showGridLines="0" tabSelected="1" workbookViewId="0">
      <pane ySplit="3" topLeftCell="A4" activePane="bottomLeft" state="frozen"/>
      <selection pane="bottomLeft" activeCell="A4" sqref="A4"/>
    </sheetView>
  </sheetViews>
  <sheetFormatPr baseColWidth="10" defaultRowHeight="12" x14ac:dyDescent="0.2"/>
  <cols>
    <col min="1" max="1" width="5.42578125" style="1" bestFit="1" customWidth="1"/>
    <col min="2" max="2" width="30.42578125" bestFit="1" customWidth="1"/>
    <col min="3" max="3" width="16.5703125" bestFit="1" customWidth="1"/>
    <col min="4" max="4" width="21.85546875" bestFit="1" customWidth="1"/>
    <col min="5" max="5" width="13.7109375" bestFit="1" customWidth="1"/>
    <col min="6" max="6" width="0.85546875" style="13" customWidth="1"/>
    <col min="9" max="9" width="8.85546875" customWidth="1"/>
    <col min="10" max="10" width="11.7109375" bestFit="1" customWidth="1"/>
    <col min="11" max="11" width="0.85546875" style="13" customWidth="1"/>
    <col min="12" max="12" width="4.7109375" bestFit="1" customWidth="1"/>
    <col min="14" max="14" width="6.140625" bestFit="1" customWidth="1"/>
    <col min="15" max="15" width="0.85546875" style="13" customWidth="1"/>
    <col min="16" max="16" width="7.7109375" bestFit="1" customWidth="1"/>
    <col min="17" max="17" width="4.7109375" bestFit="1" customWidth="1"/>
    <col min="18" max="18" width="7.85546875" bestFit="1" customWidth="1"/>
  </cols>
  <sheetData>
    <row r="1" spans="1:18" s="24" customFormat="1" ht="20.25" x14ac:dyDescent="0.3">
      <c r="A1" s="23"/>
      <c r="B1" s="22" t="s">
        <v>182</v>
      </c>
    </row>
    <row r="2" spans="1:18" x14ac:dyDescent="0.2">
      <c r="A2" s="63" t="s">
        <v>92</v>
      </c>
      <c r="B2" s="63"/>
      <c r="C2" s="63"/>
      <c r="D2" s="63"/>
      <c r="E2" s="63"/>
      <c r="F2" s="65"/>
      <c r="G2" s="64" t="s">
        <v>159</v>
      </c>
      <c r="H2" s="64"/>
      <c r="I2" s="64"/>
      <c r="J2" s="64"/>
      <c r="K2" s="65"/>
      <c r="L2" s="63" t="s">
        <v>166</v>
      </c>
      <c r="M2" s="63"/>
      <c r="N2" s="63"/>
      <c r="O2" s="65"/>
      <c r="P2" s="63" t="s">
        <v>167</v>
      </c>
      <c r="Q2" s="63"/>
      <c r="R2" s="63"/>
    </row>
    <row r="3" spans="1:18" x14ac:dyDescent="0.2">
      <c r="A3" s="14" t="s">
        <v>8</v>
      </c>
      <c r="B3" s="14" t="s">
        <v>1</v>
      </c>
      <c r="C3" s="14" t="s">
        <v>93</v>
      </c>
      <c r="D3" s="14" t="s">
        <v>94</v>
      </c>
      <c r="E3" s="14" t="s">
        <v>95</v>
      </c>
      <c r="F3" s="65"/>
      <c r="G3" s="14" t="s">
        <v>160</v>
      </c>
      <c r="H3" s="14" t="s">
        <v>161</v>
      </c>
      <c r="I3" s="14" t="s">
        <v>162</v>
      </c>
      <c r="J3" s="14" t="s">
        <v>163</v>
      </c>
      <c r="K3" s="65"/>
      <c r="L3" s="14" t="s">
        <v>72</v>
      </c>
      <c r="M3" s="14" t="s">
        <v>73</v>
      </c>
      <c r="N3" s="14" t="s">
        <v>168</v>
      </c>
      <c r="O3" s="65"/>
      <c r="P3" s="14" t="s">
        <v>169</v>
      </c>
      <c r="Q3" s="14" t="s">
        <v>74</v>
      </c>
      <c r="R3" s="14" t="s">
        <v>170</v>
      </c>
    </row>
    <row r="4" spans="1:18" s="19" customFormat="1" x14ac:dyDescent="0.2">
      <c r="A4" s="43">
        <v>1</v>
      </c>
      <c r="B4" s="19" t="s">
        <v>96</v>
      </c>
      <c r="C4" s="19" t="s">
        <v>148</v>
      </c>
      <c r="D4" s="19" t="s">
        <v>117</v>
      </c>
      <c r="E4" s="44">
        <v>7088100768</v>
      </c>
      <c r="G4" s="45">
        <v>40463</v>
      </c>
      <c r="H4" s="16">
        <v>372.75</v>
      </c>
      <c r="I4" s="19" t="s">
        <v>164</v>
      </c>
      <c r="J4" s="45"/>
      <c r="L4" s="43">
        <f t="shared" ref="L4:L24" si="0">IF(AND(I4&lt;&gt;"Baja",I4&lt;&gt;""),INT(YEARFRAC(G4,FF,1)),"")</f>
        <v>8</v>
      </c>
      <c r="M4" s="43">
        <f t="shared" ref="M4:M24" si="1">IF(AND(I4&lt;&gt;"Baja",I4&lt;&gt;""),INT((DA*YEARFRAC(G4,FF,1))+1),"")</f>
        <v>3252</v>
      </c>
      <c r="N4" s="43">
        <f t="shared" ref="N4:N24" si="2">IF(AND(I4&lt;&gt;"Baja",I4&lt;&gt;""),IF(YEAR(G4)&lt;YEAR(FI),DA*YEARFRAC(FI,FF,1)+1,DA*YEARFRAC(G4,FF,1)+1),"")</f>
        <v>251</v>
      </c>
      <c r="P4" s="43">
        <f t="shared" ref="P4:P24" si="3">IF(L4&lt;&gt;"",VLOOKUP(L4,T_Vac,2),"")</f>
        <v>14</v>
      </c>
      <c r="Q4" s="43">
        <f t="shared" ref="Q4:Q24" si="4">IF(P4&lt;&gt;"",P4*Pv,"")</f>
        <v>3.5</v>
      </c>
      <c r="R4" s="43">
        <f t="shared" ref="R4:R24" si="5">IF(P4&lt;&gt;"",AG,"")</f>
        <v>15</v>
      </c>
    </row>
    <row r="5" spans="1:18" s="19" customFormat="1" x14ac:dyDescent="0.2">
      <c r="A5" s="43">
        <v>2</v>
      </c>
      <c r="B5" s="19" t="s">
        <v>97</v>
      </c>
      <c r="C5" s="19" t="s">
        <v>149</v>
      </c>
      <c r="D5" s="19" t="s">
        <v>118</v>
      </c>
      <c r="E5" s="44">
        <v>39907347700</v>
      </c>
      <c r="G5" s="45">
        <v>39202</v>
      </c>
      <c r="H5" s="16">
        <v>335.24</v>
      </c>
      <c r="I5" s="19" t="s">
        <v>164</v>
      </c>
      <c r="J5" s="45"/>
      <c r="L5" s="43">
        <f t="shared" si="0"/>
        <v>12</v>
      </c>
      <c r="M5" s="43">
        <f t="shared" si="1"/>
        <v>4512</v>
      </c>
      <c r="N5" s="43">
        <f t="shared" si="2"/>
        <v>251</v>
      </c>
      <c r="P5" s="43">
        <f t="shared" si="3"/>
        <v>16</v>
      </c>
      <c r="Q5" s="43">
        <f t="shared" si="4"/>
        <v>4</v>
      </c>
      <c r="R5" s="43">
        <f t="shared" si="5"/>
        <v>15</v>
      </c>
    </row>
    <row r="6" spans="1:18" s="19" customFormat="1" x14ac:dyDescent="0.2">
      <c r="A6" s="43">
        <v>3</v>
      </c>
      <c r="B6" s="19" t="s">
        <v>98</v>
      </c>
      <c r="C6" s="19" t="s">
        <v>150</v>
      </c>
      <c r="D6" s="19" t="s">
        <v>119</v>
      </c>
      <c r="E6" s="44">
        <v>11725263278</v>
      </c>
      <c r="G6" s="45">
        <v>39909</v>
      </c>
      <c r="H6" s="16">
        <v>262.66000000000003</v>
      </c>
      <c r="I6" s="19" t="s">
        <v>164</v>
      </c>
      <c r="J6" s="45"/>
      <c r="L6" s="43">
        <f t="shared" si="0"/>
        <v>10</v>
      </c>
      <c r="M6" s="43">
        <f t="shared" si="1"/>
        <v>3806</v>
      </c>
      <c r="N6" s="43">
        <f t="shared" si="2"/>
        <v>251</v>
      </c>
      <c r="P6" s="43">
        <f t="shared" si="3"/>
        <v>16</v>
      </c>
      <c r="Q6" s="43">
        <f t="shared" si="4"/>
        <v>4</v>
      </c>
      <c r="R6" s="43">
        <f t="shared" si="5"/>
        <v>15</v>
      </c>
    </row>
    <row r="7" spans="1:18" s="19" customFormat="1" x14ac:dyDescent="0.2">
      <c r="A7" s="43">
        <v>4</v>
      </c>
      <c r="B7" s="19" t="s">
        <v>99</v>
      </c>
      <c r="C7" s="19" t="s">
        <v>151</v>
      </c>
      <c r="D7" s="19" t="s">
        <v>120</v>
      </c>
      <c r="E7" s="44">
        <v>90058635906</v>
      </c>
      <c r="G7" s="45">
        <v>39272</v>
      </c>
      <c r="H7" s="16">
        <v>353.29</v>
      </c>
      <c r="I7" s="19" t="s">
        <v>165</v>
      </c>
      <c r="J7" s="45">
        <v>42447</v>
      </c>
      <c r="L7" s="43" t="str">
        <f t="shared" si="0"/>
        <v/>
      </c>
      <c r="M7" s="43" t="str">
        <f t="shared" si="1"/>
        <v/>
      </c>
      <c r="N7" s="43" t="str">
        <f t="shared" si="2"/>
        <v/>
      </c>
      <c r="P7" s="43" t="str">
        <f t="shared" si="3"/>
        <v/>
      </c>
      <c r="Q7" s="43" t="str">
        <f t="shared" si="4"/>
        <v/>
      </c>
      <c r="R7" s="43" t="str">
        <f t="shared" si="5"/>
        <v/>
      </c>
    </row>
    <row r="8" spans="1:18" s="19" customFormat="1" x14ac:dyDescent="0.2">
      <c r="A8" s="43">
        <v>5</v>
      </c>
      <c r="B8" s="19" t="s">
        <v>100</v>
      </c>
      <c r="C8" s="19" t="s">
        <v>152</v>
      </c>
      <c r="D8" s="19" t="s">
        <v>121</v>
      </c>
      <c r="E8" s="44">
        <v>37097100319</v>
      </c>
      <c r="G8" s="45">
        <v>41365</v>
      </c>
      <c r="H8" s="16">
        <v>197.41</v>
      </c>
      <c r="I8" s="19" t="s">
        <v>164</v>
      </c>
      <c r="J8" s="45"/>
      <c r="L8" s="43">
        <f t="shared" si="0"/>
        <v>6</v>
      </c>
      <c r="M8" s="43">
        <f t="shared" si="1"/>
        <v>2351</v>
      </c>
      <c r="N8" s="43">
        <f t="shared" si="2"/>
        <v>251</v>
      </c>
      <c r="P8" s="43">
        <f t="shared" si="3"/>
        <v>14</v>
      </c>
      <c r="Q8" s="43">
        <f t="shared" si="4"/>
        <v>3.5</v>
      </c>
      <c r="R8" s="43">
        <f t="shared" si="5"/>
        <v>15</v>
      </c>
    </row>
    <row r="9" spans="1:18" s="19" customFormat="1" x14ac:dyDescent="0.2">
      <c r="A9" s="43">
        <v>6</v>
      </c>
      <c r="B9" s="19" t="s">
        <v>101</v>
      </c>
      <c r="C9" s="19" t="s">
        <v>153</v>
      </c>
      <c r="D9" s="19" t="s">
        <v>122</v>
      </c>
      <c r="E9" s="44">
        <v>48108726257</v>
      </c>
      <c r="G9" s="45">
        <v>40981</v>
      </c>
      <c r="H9" s="16">
        <v>335.24</v>
      </c>
      <c r="I9" s="19" t="s">
        <v>164</v>
      </c>
      <c r="J9" s="45"/>
      <c r="L9" s="43">
        <f t="shared" si="0"/>
        <v>7</v>
      </c>
      <c r="M9" s="43">
        <f t="shared" si="1"/>
        <v>2734</v>
      </c>
      <c r="N9" s="43">
        <f t="shared" si="2"/>
        <v>251</v>
      </c>
      <c r="P9" s="43">
        <f t="shared" si="3"/>
        <v>14</v>
      </c>
      <c r="Q9" s="43">
        <f t="shared" si="4"/>
        <v>3.5</v>
      </c>
      <c r="R9" s="43">
        <f t="shared" si="5"/>
        <v>15</v>
      </c>
    </row>
    <row r="10" spans="1:18" s="19" customFormat="1" x14ac:dyDescent="0.2">
      <c r="A10" s="43">
        <v>7</v>
      </c>
      <c r="B10" s="19" t="s">
        <v>102</v>
      </c>
      <c r="C10" s="19" t="s">
        <v>154</v>
      </c>
      <c r="D10" s="19" t="s">
        <v>123</v>
      </c>
      <c r="E10" s="44">
        <v>11098700708</v>
      </c>
      <c r="G10" s="45">
        <v>41309</v>
      </c>
      <c r="H10" s="16">
        <v>160.71</v>
      </c>
      <c r="I10" s="19" t="s">
        <v>165</v>
      </c>
      <c r="J10" s="45">
        <v>42735</v>
      </c>
      <c r="L10" s="43" t="str">
        <f t="shared" si="0"/>
        <v/>
      </c>
      <c r="M10" s="43" t="str">
        <f t="shared" si="1"/>
        <v/>
      </c>
      <c r="N10" s="43" t="str">
        <f t="shared" si="2"/>
        <v/>
      </c>
      <c r="P10" s="43" t="str">
        <f t="shared" si="3"/>
        <v/>
      </c>
      <c r="Q10" s="43" t="str">
        <f t="shared" si="4"/>
        <v/>
      </c>
      <c r="R10" s="43" t="str">
        <f t="shared" si="5"/>
        <v/>
      </c>
    </row>
    <row r="11" spans="1:18" s="19" customFormat="1" x14ac:dyDescent="0.2">
      <c r="A11" s="43">
        <v>8</v>
      </c>
      <c r="B11" s="19" t="s">
        <v>103</v>
      </c>
      <c r="C11" s="19" t="s">
        <v>155</v>
      </c>
      <c r="D11" s="19" t="s">
        <v>124</v>
      </c>
      <c r="E11" s="44">
        <v>45927620208</v>
      </c>
      <c r="G11" s="45">
        <v>41365</v>
      </c>
      <c r="H11" s="16">
        <v>189.19</v>
      </c>
      <c r="I11" s="19" t="s">
        <v>164</v>
      </c>
      <c r="J11" s="45"/>
      <c r="L11" s="43">
        <f t="shared" si="0"/>
        <v>6</v>
      </c>
      <c r="M11" s="43">
        <f t="shared" si="1"/>
        <v>2351</v>
      </c>
      <c r="N11" s="43">
        <f t="shared" si="2"/>
        <v>251</v>
      </c>
      <c r="P11" s="43">
        <f t="shared" si="3"/>
        <v>14</v>
      </c>
      <c r="Q11" s="43">
        <f t="shared" si="4"/>
        <v>3.5</v>
      </c>
      <c r="R11" s="43">
        <f t="shared" si="5"/>
        <v>15</v>
      </c>
    </row>
    <row r="12" spans="1:18" s="19" customFormat="1" x14ac:dyDescent="0.2">
      <c r="A12" s="43">
        <v>9</v>
      </c>
      <c r="B12" s="19" t="s">
        <v>104</v>
      </c>
      <c r="C12" s="19" t="s">
        <v>156</v>
      </c>
      <c r="D12" s="19" t="s">
        <v>125</v>
      </c>
      <c r="E12" s="44">
        <v>30028606165</v>
      </c>
      <c r="G12" s="45">
        <v>41568</v>
      </c>
      <c r="H12" s="16">
        <v>143.13999999999999</v>
      </c>
      <c r="I12" s="19" t="s">
        <v>165</v>
      </c>
      <c r="J12" s="45">
        <v>41759</v>
      </c>
      <c r="L12" s="43" t="str">
        <f t="shared" si="0"/>
        <v/>
      </c>
      <c r="M12" s="43" t="str">
        <f t="shared" si="1"/>
        <v/>
      </c>
      <c r="N12" s="43" t="str">
        <f t="shared" si="2"/>
        <v/>
      </c>
      <c r="P12" s="43" t="str">
        <f t="shared" si="3"/>
        <v/>
      </c>
      <c r="Q12" s="43" t="str">
        <f t="shared" si="4"/>
        <v/>
      </c>
      <c r="R12" s="43" t="str">
        <f t="shared" si="5"/>
        <v/>
      </c>
    </row>
    <row r="13" spans="1:18" s="19" customFormat="1" x14ac:dyDescent="0.2">
      <c r="A13" s="43">
        <v>10</v>
      </c>
      <c r="B13" s="19" t="s">
        <v>105</v>
      </c>
      <c r="C13" s="19" t="s">
        <v>157</v>
      </c>
      <c r="D13" s="19" t="s">
        <v>126</v>
      </c>
      <c r="E13" s="44">
        <v>37099300297</v>
      </c>
      <c r="G13" s="45">
        <v>41724</v>
      </c>
      <c r="H13" s="16">
        <v>160.71</v>
      </c>
      <c r="I13" s="19" t="s">
        <v>165</v>
      </c>
      <c r="J13" s="45">
        <v>42805</v>
      </c>
      <c r="L13" s="43" t="str">
        <f t="shared" si="0"/>
        <v/>
      </c>
      <c r="M13" s="43" t="str">
        <f t="shared" si="1"/>
        <v/>
      </c>
      <c r="N13" s="43" t="str">
        <f t="shared" si="2"/>
        <v/>
      </c>
      <c r="P13" s="43" t="str">
        <f t="shared" si="3"/>
        <v/>
      </c>
      <c r="Q13" s="43" t="str">
        <f t="shared" si="4"/>
        <v/>
      </c>
      <c r="R13" s="43" t="str">
        <f t="shared" si="5"/>
        <v/>
      </c>
    </row>
    <row r="14" spans="1:18" s="19" customFormat="1" x14ac:dyDescent="0.2">
      <c r="A14" s="43">
        <v>11</v>
      </c>
      <c r="B14" s="19" t="s">
        <v>106</v>
      </c>
      <c r="C14" s="19" t="s">
        <v>158</v>
      </c>
      <c r="D14" s="19" t="s">
        <v>127</v>
      </c>
      <c r="E14" s="44">
        <v>37089015434</v>
      </c>
      <c r="G14" s="45">
        <v>41736</v>
      </c>
      <c r="H14" s="16">
        <v>143.13999999999999</v>
      </c>
      <c r="I14" s="19" t="s">
        <v>165</v>
      </c>
      <c r="J14" s="45">
        <v>41764</v>
      </c>
      <c r="L14" s="43" t="str">
        <f t="shared" si="0"/>
        <v/>
      </c>
      <c r="M14" s="43" t="str">
        <f t="shared" si="1"/>
        <v/>
      </c>
      <c r="N14" s="43" t="str">
        <f t="shared" si="2"/>
        <v/>
      </c>
      <c r="P14" s="43" t="str">
        <f t="shared" si="3"/>
        <v/>
      </c>
      <c r="Q14" s="43" t="str">
        <f t="shared" si="4"/>
        <v/>
      </c>
      <c r="R14" s="43" t="str">
        <f t="shared" si="5"/>
        <v/>
      </c>
    </row>
    <row r="15" spans="1:18" x14ac:dyDescent="0.2">
      <c r="A15" s="1">
        <v>12</v>
      </c>
      <c r="B15" t="s">
        <v>107</v>
      </c>
      <c r="C15" t="s">
        <v>128</v>
      </c>
      <c r="D15" t="s">
        <v>129</v>
      </c>
      <c r="E15" s="12">
        <v>90027201228</v>
      </c>
      <c r="F15" s="19"/>
      <c r="G15" s="15">
        <v>41820</v>
      </c>
      <c r="H15" s="16">
        <v>311.74</v>
      </c>
      <c r="I15" s="13" t="s">
        <v>164</v>
      </c>
      <c r="J15" s="15"/>
      <c r="K15" s="19"/>
      <c r="L15" s="1">
        <f t="shared" si="0"/>
        <v>5</v>
      </c>
      <c r="M15" s="1">
        <f t="shared" si="1"/>
        <v>1896</v>
      </c>
      <c r="N15" s="1">
        <f t="shared" si="2"/>
        <v>251</v>
      </c>
      <c r="O15" s="19"/>
      <c r="P15" s="1">
        <f t="shared" si="3"/>
        <v>14</v>
      </c>
      <c r="Q15" s="1">
        <f t="shared" si="4"/>
        <v>3.5</v>
      </c>
      <c r="R15" s="1">
        <f t="shared" si="5"/>
        <v>15</v>
      </c>
    </row>
    <row r="16" spans="1:18" x14ac:dyDescent="0.2">
      <c r="A16" s="1">
        <v>13</v>
      </c>
      <c r="B16" t="s">
        <v>108</v>
      </c>
      <c r="C16" t="s">
        <v>130</v>
      </c>
      <c r="D16" t="s">
        <v>131</v>
      </c>
      <c r="E16" s="12">
        <v>54149630854</v>
      </c>
      <c r="F16" s="19"/>
      <c r="G16" s="15">
        <v>42737</v>
      </c>
      <c r="H16" s="16">
        <v>189.19</v>
      </c>
      <c r="I16" s="13" t="s">
        <v>165</v>
      </c>
      <c r="J16" s="15">
        <v>43427</v>
      </c>
      <c r="K16" s="19"/>
      <c r="L16" s="1" t="str">
        <f t="shared" si="0"/>
        <v/>
      </c>
      <c r="M16" s="1" t="str">
        <f t="shared" si="1"/>
        <v/>
      </c>
      <c r="N16" s="1" t="str">
        <f t="shared" si="2"/>
        <v/>
      </c>
      <c r="O16" s="19"/>
      <c r="P16" s="1" t="str">
        <f t="shared" si="3"/>
        <v/>
      </c>
      <c r="Q16" s="1" t="str">
        <f t="shared" si="4"/>
        <v/>
      </c>
      <c r="R16" s="1" t="str">
        <f t="shared" si="5"/>
        <v/>
      </c>
    </row>
    <row r="17" spans="1:18" s="19" customFormat="1" x14ac:dyDescent="0.2">
      <c r="A17" s="43">
        <v>14</v>
      </c>
      <c r="B17" s="19" t="s">
        <v>109</v>
      </c>
      <c r="C17" s="19" t="s">
        <v>132</v>
      </c>
      <c r="D17" s="19" t="s">
        <v>133</v>
      </c>
      <c r="E17" s="44">
        <v>30018403326</v>
      </c>
      <c r="G17" s="45">
        <v>41890</v>
      </c>
      <c r="H17" s="16">
        <v>332.06</v>
      </c>
      <c r="I17" s="19" t="s">
        <v>165</v>
      </c>
      <c r="J17" s="45">
        <v>43310</v>
      </c>
      <c r="L17" s="43" t="str">
        <f t="shared" si="0"/>
        <v/>
      </c>
      <c r="M17" s="43" t="str">
        <f t="shared" si="1"/>
        <v/>
      </c>
      <c r="N17" s="43" t="str">
        <f t="shared" si="2"/>
        <v/>
      </c>
      <c r="P17" s="43" t="str">
        <f t="shared" si="3"/>
        <v/>
      </c>
      <c r="Q17" s="43" t="str">
        <f t="shared" si="4"/>
        <v/>
      </c>
      <c r="R17" s="43" t="str">
        <f t="shared" si="5"/>
        <v/>
      </c>
    </row>
    <row r="18" spans="1:18" x14ac:dyDescent="0.2">
      <c r="A18" s="1">
        <v>15</v>
      </c>
      <c r="B18" t="s">
        <v>110</v>
      </c>
      <c r="C18" t="s">
        <v>134</v>
      </c>
      <c r="D18" t="s">
        <v>135</v>
      </c>
      <c r="E18" s="12">
        <v>11735238492</v>
      </c>
      <c r="F18" s="19"/>
      <c r="G18" s="15">
        <v>41918</v>
      </c>
      <c r="H18" s="16">
        <v>184.5</v>
      </c>
      <c r="I18" s="13" t="s">
        <v>165</v>
      </c>
      <c r="J18" s="15">
        <v>43175</v>
      </c>
      <c r="K18" s="19"/>
      <c r="L18" s="1" t="str">
        <f t="shared" si="0"/>
        <v/>
      </c>
      <c r="M18" s="1" t="str">
        <f t="shared" si="1"/>
        <v/>
      </c>
      <c r="N18" s="1" t="str">
        <f t="shared" si="2"/>
        <v/>
      </c>
      <c r="O18" s="19"/>
      <c r="P18" s="1" t="str">
        <f t="shared" si="3"/>
        <v/>
      </c>
      <c r="Q18" s="1" t="str">
        <f t="shared" si="4"/>
        <v/>
      </c>
      <c r="R18" s="1" t="str">
        <f t="shared" si="5"/>
        <v/>
      </c>
    </row>
    <row r="19" spans="1:18" x14ac:dyDescent="0.2">
      <c r="A19" s="1">
        <v>16</v>
      </c>
      <c r="B19" t="s">
        <v>111</v>
      </c>
      <c r="C19" t="s">
        <v>136</v>
      </c>
      <c r="D19" t="s">
        <v>137</v>
      </c>
      <c r="E19" s="12">
        <v>39069002614</v>
      </c>
      <c r="F19" s="19"/>
      <c r="G19" s="15">
        <v>42023</v>
      </c>
      <c r="H19" s="16">
        <v>143.15</v>
      </c>
      <c r="I19" s="13" t="s">
        <v>165</v>
      </c>
      <c r="J19" s="15">
        <v>42119</v>
      </c>
      <c r="K19" s="19"/>
      <c r="L19" s="1" t="str">
        <f t="shared" si="0"/>
        <v/>
      </c>
      <c r="M19" s="1" t="str">
        <f t="shared" si="1"/>
        <v/>
      </c>
      <c r="N19" s="1" t="str">
        <f t="shared" si="2"/>
        <v/>
      </c>
      <c r="O19" s="19"/>
      <c r="P19" s="1" t="str">
        <f t="shared" si="3"/>
        <v/>
      </c>
      <c r="Q19" s="1" t="str">
        <f t="shared" si="4"/>
        <v/>
      </c>
      <c r="R19" s="1" t="str">
        <f t="shared" si="5"/>
        <v/>
      </c>
    </row>
    <row r="20" spans="1:18" x14ac:dyDescent="0.2">
      <c r="A20" s="1">
        <v>17</v>
      </c>
      <c r="B20" t="s">
        <v>112</v>
      </c>
      <c r="C20" t="s">
        <v>138</v>
      </c>
      <c r="D20" t="s">
        <v>139</v>
      </c>
      <c r="E20" s="12">
        <v>39977665890</v>
      </c>
      <c r="F20" s="19"/>
      <c r="G20" s="15">
        <v>42401</v>
      </c>
      <c r="H20" s="16">
        <v>160.69999999999999</v>
      </c>
      <c r="I20" s="13" t="s">
        <v>165</v>
      </c>
      <c r="J20" s="15">
        <v>42433</v>
      </c>
      <c r="K20" s="19"/>
      <c r="L20" s="1" t="str">
        <f t="shared" si="0"/>
        <v/>
      </c>
      <c r="M20" s="1" t="str">
        <f t="shared" si="1"/>
        <v/>
      </c>
      <c r="N20" s="1" t="str">
        <f t="shared" si="2"/>
        <v/>
      </c>
      <c r="O20" s="19"/>
      <c r="P20" s="1" t="str">
        <f t="shared" si="3"/>
        <v/>
      </c>
      <c r="Q20" s="1" t="str">
        <f t="shared" si="4"/>
        <v/>
      </c>
      <c r="R20" s="1" t="str">
        <f t="shared" si="5"/>
        <v/>
      </c>
    </row>
    <row r="21" spans="1:18" x14ac:dyDescent="0.2">
      <c r="A21" s="1">
        <v>18</v>
      </c>
      <c r="B21" t="s">
        <v>113</v>
      </c>
      <c r="C21" t="s">
        <v>140</v>
      </c>
      <c r="D21" t="s">
        <v>141</v>
      </c>
      <c r="E21" s="12">
        <v>67119128253</v>
      </c>
      <c r="F21" s="19"/>
      <c r="G21" s="15">
        <v>42800</v>
      </c>
      <c r="H21" s="16">
        <v>335.24</v>
      </c>
      <c r="I21" s="13" t="s">
        <v>164</v>
      </c>
      <c r="J21" s="15"/>
      <c r="K21" s="19"/>
      <c r="L21" s="1">
        <f t="shared" si="0"/>
        <v>2</v>
      </c>
      <c r="M21" s="1">
        <f t="shared" si="1"/>
        <v>917</v>
      </c>
      <c r="N21" s="1">
        <f t="shared" si="2"/>
        <v>251</v>
      </c>
      <c r="O21" s="19"/>
      <c r="P21" s="1">
        <f t="shared" si="3"/>
        <v>8</v>
      </c>
      <c r="Q21" s="1">
        <f t="shared" si="4"/>
        <v>2</v>
      </c>
      <c r="R21" s="1">
        <f t="shared" si="5"/>
        <v>15</v>
      </c>
    </row>
    <row r="22" spans="1:18" x14ac:dyDescent="0.2">
      <c r="A22" s="1">
        <v>19</v>
      </c>
      <c r="B22" t="s">
        <v>114</v>
      </c>
      <c r="C22" t="s">
        <v>142</v>
      </c>
      <c r="D22" t="s">
        <v>143</v>
      </c>
      <c r="E22" s="12">
        <v>14028706605</v>
      </c>
      <c r="F22" s="19"/>
      <c r="G22" s="15">
        <v>42803</v>
      </c>
      <c r="H22" s="16">
        <v>160.71</v>
      </c>
      <c r="I22" s="13" t="s">
        <v>165</v>
      </c>
      <c r="J22" s="15">
        <v>42817</v>
      </c>
      <c r="K22" s="19"/>
      <c r="L22" s="1" t="str">
        <f t="shared" si="0"/>
        <v/>
      </c>
      <c r="M22" s="1" t="str">
        <f t="shared" si="1"/>
        <v/>
      </c>
      <c r="N22" s="1" t="str">
        <f t="shared" si="2"/>
        <v/>
      </c>
      <c r="O22" s="19"/>
      <c r="P22" s="1" t="str">
        <f t="shared" si="3"/>
        <v/>
      </c>
      <c r="Q22" s="1" t="str">
        <f t="shared" si="4"/>
        <v/>
      </c>
      <c r="R22" s="1" t="str">
        <f t="shared" si="5"/>
        <v/>
      </c>
    </row>
    <row r="23" spans="1:18" x14ac:dyDescent="0.2">
      <c r="A23" s="1">
        <v>20</v>
      </c>
      <c r="B23" t="s">
        <v>115</v>
      </c>
      <c r="C23" t="s">
        <v>144</v>
      </c>
      <c r="D23" t="s">
        <v>145</v>
      </c>
      <c r="E23" s="12">
        <v>37129304137</v>
      </c>
      <c r="F23" s="19"/>
      <c r="G23" s="15">
        <v>42828</v>
      </c>
      <c r="H23" s="16">
        <v>189.19</v>
      </c>
      <c r="I23" s="13" t="s">
        <v>165</v>
      </c>
      <c r="J23" s="15">
        <v>43659</v>
      </c>
      <c r="K23" s="19"/>
      <c r="L23" s="1" t="str">
        <f t="shared" si="0"/>
        <v/>
      </c>
      <c r="M23" s="1" t="str">
        <f t="shared" si="1"/>
        <v/>
      </c>
      <c r="N23" s="1" t="str">
        <f t="shared" si="2"/>
        <v/>
      </c>
      <c r="O23" s="19"/>
      <c r="P23" s="1" t="str">
        <f t="shared" si="3"/>
        <v/>
      </c>
      <c r="Q23" s="1" t="str">
        <f t="shared" si="4"/>
        <v/>
      </c>
      <c r="R23" s="1" t="str">
        <f t="shared" si="5"/>
        <v/>
      </c>
    </row>
    <row r="24" spans="1:18" s="19" customFormat="1" x14ac:dyDescent="0.2">
      <c r="A24" s="43">
        <v>21</v>
      </c>
      <c r="B24" s="19" t="s">
        <v>116</v>
      </c>
      <c r="C24" s="19" t="s">
        <v>146</v>
      </c>
      <c r="D24" s="19" t="s">
        <v>147</v>
      </c>
      <c r="E24" s="44">
        <v>37008022685</v>
      </c>
      <c r="G24" s="45">
        <v>42828</v>
      </c>
      <c r="H24" s="16">
        <v>189.19</v>
      </c>
      <c r="I24" s="19" t="s">
        <v>164</v>
      </c>
      <c r="J24" s="45"/>
      <c r="L24" s="43">
        <f t="shared" si="0"/>
        <v>2</v>
      </c>
      <c r="M24" s="43">
        <f t="shared" si="1"/>
        <v>889</v>
      </c>
      <c r="N24" s="43">
        <f t="shared" si="2"/>
        <v>251</v>
      </c>
      <c r="P24" s="43">
        <f t="shared" si="3"/>
        <v>8</v>
      </c>
      <c r="Q24" s="43">
        <f t="shared" si="4"/>
        <v>2</v>
      </c>
      <c r="R24" s="43">
        <f t="shared" si="5"/>
        <v>15</v>
      </c>
    </row>
  </sheetData>
  <sortState ref="D28:D32">
    <sortCondition ref="D28"/>
  </sortState>
  <mergeCells count="7">
    <mergeCell ref="P2:R2"/>
    <mergeCell ref="A2:E2"/>
    <mergeCell ref="G2:J2"/>
    <mergeCell ref="F2:F3"/>
    <mergeCell ref="K2:K3"/>
    <mergeCell ref="O2:O3"/>
    <mergeCell ref="L2:N2"/>
  </mergeCells>
  <conditionalFormatting sqref="J4:J24">
    <cfRule type="expression" dxfId="0" priority="2">
      <formula>AND(I4="Finiquito",J4="")</formula>
    </cfRule>
  </conditionalFormatting>
  <dataValidations count="1">
    <dataValidation type="list" allowBlank="1" showInputMessage="1" showErrorMessage="1" sqref="I4:I24">
      <formula1>"Alta,Baja,Finiquito,Reingreso"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CW25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2" x14ac:dyDescent="0.2"/>
  <cols>
    <col min="1" max="1" width="4.85546875" bestFit="1" customWidth="1"/>
    <col min="2" max="2" width="30.7109375" customWidth="1"/>
    <col min="4" max="4" width="8.42578125" bestFit="1" customWidth="1"/>
    <col min="6" max="6" width="9" customWidth="1"/>
    <col min="7" max="7" width="0.85546875" style="13" customWidth="1"/>
    <col min="8" max="8" width="6.7109375" customWidth="1"/>
    <col min="9" max="9" width="4.7109375" style="13" bestFit="1" customWidth="1"/>
    <col min="10" max="10" width="4.28515625" style="13" bestFit="1" customWidth="1"/>
    <col min="11" max="11" width="8" style="13" customWidth="1"/>
    <col min="12" max="12" width="0.85546875" style="13" customWidth="1"/>
    <col min="14" max="14" width="11.5703125" bestFit="1" customWidth="1"/>
    <col min="15" max="15" width="11.42578125" style="13"/>
    <col min="16" max="16" width="12" customWidth="1"/>
    <col min="24" max="24" width="0.85546875" style="13" customWidth="1"/>
    <col min="32" max="32" width="0.85546875" style="13" customWidth="1"/>
    <col min="33" max="33" width="15.7109375" customWidth="1"/>
    <col min="34" max="34" width="0.85546875" style="13" customWidth="1"/>
    <col min="40" max="47" width="11.42578125" style="13"/>
    <col min="50" max="51" width="11.42578125" style="13"/>
    <col min="52" max="52" width="0.85546875" style="13" customWidth="1"/>
    <col min="53" max="53" width="11.42578125" style="13"/>
    <col min="54" max="54" width="0.85546875" style="13" customWidth="1"/>
    <col min="55" max="55" width="12" bestFit="1" customWidth="1"/>
    <col min="59" max="59" width="11.42578125" style="13"/>
    <col min="68" max="68" width="0.85546875" style="13" customWidth="1"/>
    <col min="78" max="78" width="0.85546875" style="13" customWidth="1"/>
    <col min="79" max="79" width="11.42578125" style="13"/>
    <col min="80" max="80" width="0.85546875" style="13" customWidth="1"/>
    <col min="87" max="87" width="0.85546875" style="13" customWidth="1"/>
    <col min="94" max="94" width="0.85546875" style="13" customWidth="1"/>
  </cols>
  <sheetData>
    <row r="1" spans="1:101" s="55" customFormat="1" ht="23.25" x14ac:dyDescent="0.35">
      <c r="A1" s="52"/>
      <c r="B1" s="53" t="s">
        <v>81</v>
      </c>
      <c r="C1" s="60" t="s">
        <v>6</v>
      </c>
      <c r="D1" s="54"/>
      <c r="E1" s="54"/>
      <c r="F1" s="53" t="s">
        <v>82</v>
      </c>
      <c r="G1" s="54"/>
      <c r="H1" s="60">
        <v>36</v>
      </c>
      <c r="I1" s="54"/>
      <c r="J1" s="54"/>
      <c r="K1" s="54"/>
      <c r="L1" s="53" t="s">
        <v>83</v>
      </c>
      <c r="N1" s="62">
        <f>IF(DN=7,VLOOKUP(H1,T_NS,2,0),IF(DN=15,VLOOKUP(H1,T_NQ,2,0),VLOOKUP(H1,T_NM,2,0)))</f>
        <v>43710</v>
      </c>
      <c r="O1" s="56" t="s">
        <v>84</v>
      </c>
      <c r="P1" s="62">
        <f>IF(DN=7,VLOOKUP(H1,T_NS,3,0),IF(DN=15,VLOOKUP(H1,T_NQ,3,0),VLOOKUP(H1,T_NM,3,0)))</f>
        <v>43716</v>
      </c>
      <c r="AH1" s="57"/>
      <c r="AI1" s="58" t="s">
        <v>254</v>
      </c>
      <c r="AR1" s="55">
        <v>0.4</v>
      </c>
      <c r="AT1" s="55">
        <v>0.05</v>
      </c>
      <c r="AV1" s="55">
        <v>0.09</v>
      </c>
      <c r="CJ1" s="55">
        <f>BD!L6/100</f>
        <v>4.0000000000000001E-3</v>
      </c>
      <c r="CK1" s="55">
        <f>BD!L7/100</f>
        <v>3.7499999999999999E-3</v>
      </c>
      <c r="CL1" s="55">
        <f>BD!L8/100</f>
        <v>2.5000000000000001E-3</v>
      </c>
      <c r="CM1" s="55">
        <f>BD!L9/100</f>
        <v>6.2500000000000003E-3</v>
      </c>
      <c r="CN1" s="55">
        <f>BD!L11/100</f>
        <v>1.125E-2</v>
      </c>
      <c r="CQ1" s="59" t="s">
        <v>243</v>
      </c>
      <c r="CR1" s="55">
        <f>ROUNDUP(MONTH(P1)/2,0)</f>
        <v>5</v>
      </c>
      <c r="CS1" s="59" t="s">
        <v>244</v>
      </c>
      <c r="CT1" s="55">
        <f>VLOOKUP(CR1,Bimestre,2)</f>
        <v>61</v>
      </c>
    </row>
    <row r="2" spans="1:101" s="47" customFormat="1" ht="11.25" customHeight="1" x14ac:dyDescent="0.2">
      <c r="A2" s="85" t="s">
        <v>179</v>
      </c>
      <c r="B2" s="85"/>
      <c r="C2" s="85"/>
      <c r="D2" s="85"/>
      <c r="E2" s="85"/>
      <c r="F2" s="85"/>
      <c r="G2" s="86"/>
      <c r="H2" s="85" t="s">
        <v>178</v>
      </c>
      <c r="I2" s="85"/>
      <c r="J2" s="85"/>
      <c r="K2" s="85"/>
      <c r="L2" s="86"/>
      <c r="M2" s="84" t="s">
        <v>183</v>
      </c>
      <c r="N2" s="84" t="s">
        <v>184</v>
      </c>
      <c r="O2" s="84" t="s">
        <v>170</v>
      </c>
      <c r="P2" s="84" t="s">
        <v>208</v>
      </c>
      <c r="Q2" s="84" t="s">
        <v>31</v>
      </c>
      <c r="R2" s="84" t="s">
        <v>185</v>
      </c>
      <c r="S2" s="84" t="s">
        <v>186</v>
      </c>
      <c r="T2" s="84" t="s">
        <v>187</v>
      </c>
      <c r="U2" s="84" t="s">
        <v>188</v>
      </c>
      <c r="V2" s="84" t="s">
        <v>189</v>
      </c>
      <c r="W2" s="84" t="s">
        <v>190</v>
      </c>
      <c r="X2" s="70"/>
      <c r="Y2" s="79" t="s">
        <v>192</v>
      </c>
      <c r="Z2" s="81" t="s">
        <v>193</v>
      </c>
      <c r="AA2" s="82"/>
      <c r="AB2" s="79" t="s">
        <v>194</v>
      </c>
      <c r="AC2" s="79" t="s">
        <v>195</v>
      </c>
      <c r="AD2" s="79" t="s">
        <v>196</v>
      </c>
      <c r="AE2" s="83"/>
      <c r="AF2" s="70"/>
      <c r="AH2" s="57"/>
      <c r="AI2" s="80" t="s">
        <v>197</v>
      </c>
      <c r="AJ2" s="80"/>
      <c r="AK2" s="80"/>
      <c r="AL2" s="80"/>
      <c r="AM2" s="78"/>
      <c r="AN2" s="77" t="s">
        <v>31</v>
      </c>
      <c r="AO2" s="78"/>
      <c r="AP2" s="77" t="s">
        <v>188</v>
      </c>
      <c r="AQ2" s="78"/>
      <c r="AR2" s="77" t="s">
        <v>202</v>
      </c>
      <c r="AS2" s="78"/>
      <c r="AT2" s="77" t="s">
        <v>203</v>
      </c>
      <c r="AU2" s="78"/>
      <c r="AV2" s="77" t="s">
        <v>204</v>
      </c>
      <c r="AW2" s="78"/>
      <c r="AX2" s="77" t="s">
        <v>170</v>
      </c>
      <c r="AY2" s="78"/>
      <c r="AZ2" s="70"/>
      <c r="BB2" s="70"/>
      <c r="BC2" s="73" t="s">
        <v>218</v>
      </c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5"/>
      <c r="BP2" s="70"/>
      <c r="BQ2" s="76" t="s">
        <v>228</v>
      </c>
      <c r="BR2" s="76"/>
      <c r="BS2" s="76"/>
      <c r="BT2" s="76"/>
      <c r="BU2" s="76"/>
      <c r="BV2" s="76"/>
      <c r="BW2" s="76"/>
      <c r="BX2" s="76"/>
      <c r="BY2" s="76"/>
      <c r="BZ2" s="70"/>
      <c r="CB2" s="70"/>
      <c r="CC2" s="71" t="s">
        <v>230</v>
      </c>
      <c r="CD2" s="71"/>
      <c r="CE2" s="71"/>
      <c r="CF2" s="71"/>
      <c r="CG2" s="71"/>
      <c r="CH2" s="71"/>
      <c r="CI2" s="70"/>
      <c r="CJ2" s="72" t="s">
        <v>237</v>
      </c>
      <c r="CK2" s="72"/>
      <c r="CL2" s="72"/>
      <c r="CM2" s="72"/>
      <c r="CN2" s="72"/>
      <c r="CO2" s="72"/>
      <c r="CP2" s="70"/>
      <c r="CQ2" s="66" t="s">
        <v>238</v>
      </c>
      <c r="CR2" s="67"/>
      <c r="CS2" s="67"/>
      <c r="CT2" s="67"/>
      <c r="CU2" s="67"/>
      <c r="CV2" s="67"/>
      <c r="CW2" s="67"/>
    </row>
    <row r="3" spans="1:101" s="2" customFormat="1" ht="11.25" customHeight="1" x14ac:dyDescent="0.2">
      <c r="A3" s="14" t="s">
        <v>8</v>
      </c>
      <c r="B3" s="14" t="s">
        <v>1</v>
      </c>
      <c r="C3" s="14" t="s">
        <v>161</v>
      </c>
      <c r="D3" s="14" t="s">
        <v>171</v>
      </c>
      <c r="E3" s="14" t="s">
        <v>172</v>
      </c>
      <c r="F3" s="14" t="s">
        <v>173</v>
      </c>
      <c r="G3" s="86"/>
      <c r="H3" s="14" t="s">
        <v>174</v>
      </c>
      <c r="I3" s="14" t="s">
        <v>175</v>
      </c>
      <c r="J3" s="14" t="s">
        <v>176</v>
      </c>
      <c r="K3" s="14" t="s">
        <v>177</v>
      </c>
      <c r="L3" s="86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70"/>
      <c r="Y3" s="79"/>
      <c r="Z3" s="38" t="s">
        <v>191</v>
      </c>
      <c r="AA3" s="38" t="s">
        <v>3</v>
      </c>
      <c r="AB3" s="79"/>
      <c r="AC3" s="79"/>
      <c r="AD3" s="79"/>
      <c r="AE3" s="83"/>
      <c r="AF3" s="70"/>
      <c r="AH3" s="42"/>
      <c r="AI3" s="26" t="s">
        <v>200</v>
      </c>
      <c r="AJ3" s="26" t="s">
        <v>198</v>
      </c>
      <c r="AK3" s="26" t="s">
        <v>199</v>
      </c>
      <c r="AL3" s="26" t="s">
        <v>201</v>
      </c>
      <c r="AM3" s="26" t="s">
        <v>205</v>
      </c>
      <c r="AN3" s="27" t="s">
        <v>206</v>
      </c>
      <c r="AO3" s="28" t="s">
        <v>207</v>
      </c>
      <c r="AP3" s="27" t="s">
        <v>210</v>
      </c>
      <c r="AQ3" s="28" t="s">
        <v>211</v>
      </c>
      <c r="AR3" s="27" t="s">
        <v>212</v>
      </c>
      <c r="AS3" s="28" t="s">
        <v>213</v>
      </c>
      <c r="AT3" s="27" t="s">
        <v>214</v>
      </c>
      <c r="AU3" s="28" t="s">
        <v>215</v>
      </c>
      <c r="AV3" s="27" t="s">
        <v>217</v>
      </c>
      <c r="AW3" s="28" t="s">
        <v>216</v>
      </c>
      <c r="AX3" s="27" t="s">
        <v>226</v>
      </c>
      <c r="AY3" s="28" t="s">
        <v>227</v>
      </c>
      <c r="AZ3" s="70"/>
      <c r="BB3" s="70"/>
      <c r="BC3" s="29" t="s">
        <v>161</v>
      </c>
      <c r="BD3" s="29" t="s">
        <v>219</v>
      </c>
      <c r="BE3" s="29" t="s">
        <v>220</v>
      </c>
      <c r="BF3" s="29" t="s">
        <v>221</v>
      </c>
      <c r="BG3" s="29" t="s">
        <v>170</v>
      </c>
      <c r="BH3" s="29" t="s">
        <v>208</v>
      </c>
      <c r="BI3" s="29" t="s">
        <v>222</v>
      </c>
      <c r="BJ3" s="29" t="s">
        <v>202</v>
      </c>
      <c r="BK3" s="29" t="s">
        <v>203</v>
      </c>
      <c r="BL3" s="29" t="s">
        <v>204</v>
      </c>
      <c r="BM3" s="29" t="s">
        <v>223</v>
      </c>
      <c r="BN3" s="29" t="s">
        <v>224</v>
      </c>
      <c r="BO3" s="29" t="s">
        <v>225</v>
      </c>
      <c r="BP3" s="70"/>
      <c r="BQ3" s="30" t="s">
        <v>220</v>
      </c>
      <c r="BR3" s="30" t="s">
        <v>170</v>
      </c>
      <c r="BS3" s="30" t="s">
        <v>222</v>
      </c>
      <c r="BT3" s="30" t="s">
        <v>202</v>
      </c>
      <c r="BU3" s="30" t="s">
        <v>203</v>
      </c>
      <c r="BV3" s="30" t="s">
        <v>204</v>
      </c>
      <c r="BW3" s="30" t="s">
        <v>223</v>
      </c>
      <c r="BX3" s="30" t="s">
        <v>229</v>
      </c>
      <c r="BY3" s="30" t="s">
        <v>225</v>
      </c>
      <c r="BZ3" s="70"/>
      <c r="CB3" s="70"/>
      <c r="CC3" s="31" t="s">
        <v>231</v>
      </c>
      <c r="CD3" s="31" t="s">
        <v>232</v>
      </c>
      <c r="CE3" s="31" t="s">
        <v>233</v>
      </c>
      <c r="CF3" s="31" t="s">
        <v>234</v>
      </c>
      <c r="CG3" s="35" t="s">
        <v>235</v>
      </c>
      <c r="CH3" s="35" t="s">
        <v>236</v>
      </c>
      <c r="CI3" s="70"/>
      <c r="CJ3" s="34" t="s">
        <v>54</v>
      </c>
      <c r="CK3" s="34" t="s">
        <v>56</v>
      </c>
      <c r="CL3" s="34" t="s">
        <v>58</v>
      </c>
      <c r="CM3" s="34" t="s">
        <v>60</v>
      </c>
      <c r="CN3" s="34" t="s">
        <v>64</v>
      </c>
      <c r="CO3" s="37" t="s">
        <v>225</v>
      </c>
      <c r="CP3" s="70"/>
      <c r="CQ3" s="68" t="s">
        <v>52</v>
      </c>
      <c r="CR3" s="69"/>
      <c r="CS3" s="68" t="s">
        <v>239</v>
      </c>
      <c r="CT3" s="69"/>
      <c r="CU3" s="68" t="s">
        <v>240</v>
      </c>
      <c r="CV3" s="69"/>
      <c r="CW3" s="36" t="s">
        <v>241</v>
      </c>
    </row>
    <row r="4" spans="1:101" s="19" customFormat="1" x14ac:dyDescent="0.2">
      <c r="A4" s="43">
        <f>IF(AND(L!I4&lt;&gt;"Baja",L!I4&lt;&gt;""),L!A4,"")</f>
        <v>1</v>
      </c>
      <c r="B4" s="19" t="str">
        <f>IF(AND(L!I4&lt;&gt;"Baja",L!I4&lt;&gt;""),L!B4,"")</f>
        <v>GARCIA RIVERA JESUS IGNACIO</v>
      </c>
      <c r="C4" s="16">
        <f>IF(AND(L!I4&lt;&gt;"Baja",L!I4&lt;&gt;""),L!H4,0)</f>
        <v>372.75</v>
      </c>
      <c r="D4" s="17">
        <f>IF(AND(L!I4&lt;&gt;"Baja",L!I4&lt;&gt;""),1+(L!Q4+L!R4)/DA,0)</f>
        <v>1.0506849315068494</v>
      </c>
      <c r="E4" s="16">
        <f>ROUND(C4*D4,2)</f>
        <v>391.64</v>
      </c>
      <c r="F4" s="16">
        <f t="shared" ref="F4:F24" si="0">IF(E4&lt;&gt;0,C4/HL,0)</f>
        <v>46.59375</v>
      </c>
      <c r="H4" s="18">
        <f>IF(A4&lt;&gt;"",IF(L!I4="Finiquito",L!J4-$N$1+1,DN),0)</f>
        <v>7</v>
      </c>
      <c r="I4" s="18"/>
      <c r="J4" s="18"/>
      <c r="K4" s="20">
        <f t="shared" ref="K4:K24" si="1">IF((I4+J4)=H4,0,H4-(J4+(J4/DS))-I4)</f>
        <v>7</v>
      </c>
      <c r="M4" s="48"/>
      <c r="N4" s="48"/>
      <c r="O4" s="48"/>
      <c r="P4" s="49"/>
      <c r="Q4" s="48" t="str">
        <f>IF(P4,L!Q4,"")</f>
        <v/>
      </c>
      <c r="R4" s="48">
        <v>0.05</v>
      </c>
      <c r="S4" s="48">
        <v>0.1</v>
      </c>
      <c r="T4" s="48">
        <v>0.1</v>
      </c>
      <c r="U4" s="48"/>
      <c r="V4" s="48"/>
      <c r="W4" s="48"/>
      <c r="Y4" s="48"/>
      <c r="Z4" s="19" t="s">
        <v>51</v>
      </c>
      <c r="AA4" s="48">
        <v>3568.95</v>
      </c>
      <c r="AB4" s="48"/>
      <c r="AC4" s="48"/>
      <c r="AD4" s="48"/>
      <c r="AE4" s="48"/>
      <c r="AI4" s="50">
        <f t="shared" ref="AI4:AI24" si="2">IF(C4&gt;SMG,0,IF(AND(N4&lt;=9,N4&gt;0),F4*N4*2,F4*9*2))</f>
        <v>0</v>
      </c>
      <c r="AJ4" s="50">
        <f t="shared" ref="AJ4:AJ24" si="3">IF(C4&gt;SMG,IF(N4&lt;=9,(F4*N4*2)/2,(F4*9*2)/2),0)</f>
        <v>0</v>
      </c>
      <c r="AK4" s="50">
        <f t="shared" ref="AK4:AK24" si="4">IF(AI4,AI4,IF(AJ4&lt;=(SMG*5),AJ4,SMG*5))</f>
        <v>0</v>
      </c>
      <c r="AL4" s="50">
        <f>IF(AJ4&gt;AK4,AJ4-AK4,0)</f>
        <v>0</v>
      </c>
      <c r="AM4" s="50">
        <f>IF(N4&gt;9,F4*(N4-9)*3,0)</f>
        <v>0</v>
      </c>
      <c r="AN4" s="50">
        <f t="shared" ref="AN4:AN24" si="5">IF(P4,IF((C4*Q4)&gt;(SMG*15),SMG*15,C4*Q4),0)</f>
        <v>0</v>
      </c>
      <c r="AO4" s="50">
        <f t="shared" ref="AO4:AO24" si="6">IF(P4,(C4*Q4)-AN4,0)</f>
        <v>0</v>
      </c>
      <c r="AP4" s="50">
        <f t="shared" ref="AP4:AP24" si="7">IF(U4,IF((C4*Pd*U4)&gt;SMG,SMG,C4*Pd*U4),0)</f>
        <v>0</v>
      </c>
      <c r="AQ4" s="50">
        <f t="shared" ref="AQ4:AQ24" si="8">(C4*Pd*U4)-AP4</f>
        <v>0</v>
      </c>
      <c r="AR4" s="50">
        <f>(C4*R4*K4)-AS4</f>
        <v>130.46250000000001</v>
      </c>
      <c r="AS4" s="50">
        <f t="shared" ref="AS4:AS24" si="9">IF((C4*R4)&gt;((SMG*$AR$1)*K4),SMG*$AR$1*K4,0)</f>
        <v>0</v>
      </c>
      <c r="AT4" s="50">
        <f t="shared" ref="AT4:AT24" si="10">(C4*S4*K4)-AU4</f>
        <v>0</v>
      </c>
      <c r="AU4" s="50">
        <f>IF((C4*S4*K4)&gt;(C4*$AT$1*K4),C4*S4*K4,0)</f>
        <v>260.92500000000001</v>
      </c>
      <c r="AV4" s="50">
        <f t="shared" ref="AV4:AV24" si="11">(C4*T4*K4)-AW4</f>
        <v>0</v>
      </c>
      <c r="AW4" s="50">
        <f>IF((C4*T4*K4)&gt;(C4*$AV$1*K4),(C4*T4*K4),0)</f>
        <v>260.92500000000001</v>
      </c>
      <c r="AX4" s="50">
        <f>IF(AY4,O4-AY4,0)</f>
        <v>0</v>
      </c>
      <c r="AY4" s="50">
        <f t="shared" ref="AY4:AY24" si="12">IF(O4&gt;(SMG*30),O4-(SMG*30),0)</f>
        <v>0</v>
      </c>
      <c r="BC4" s="50">
        <f>C4*K4</f>
        <v>2609.25</v>
      </c>
      <c r="BD4" s="50">
        <f>M4</f>
        <v>0</v>
      </c>
      <c r="BE4" s="50">
        <f>AJ4+AL4</f>
        <v>0</v>
      </c>
      <c r="BF4" s="50">
        <f>AM4</f>
        <v>0</v>
      </c>
      <c r="BG4" s="50">
        <f>AY4</f>
        <v>0</v>
      </c>
      <c r="BH4" s="50">
        <f>IF(P4,C4*L!P4,0)</f>
        <v>0</v>
      </c>
      <c r="BI4" s="50">
        <f>AO4</f>
        <v>0</v>
      </c>
      <c r="BJ4" s="50">
        <f>AS4</f>
        <v>0</v>
      </c>
      <c r="BK4" s="50">
        <f>AU4</f>
        <v>260.92500000000001</v>
      </c>
      <c r="BL4" s="50">
        <f>AW4</f>
        <v>260.92500000000001</v>
      </c>
      <c r="BM4" s="50">
        <f>AQ4</f>
        <v>0</v>
      </c>
      <c r="BN4" s="50">
        <f>V4</f>
        <v>0</v>
      </c>
      <c r="BO4" s="50">
        <f>SUM(BC4:BN4)</f>
        <v>3131.1000000000004</v>
      </c>
      <c r="BQ4" s="50">
        <f>AI4+AK4</f>
        <v>0</v>
      </c>
      <c r="BR4" s="50">
        <f>AX4</f>
        <v>0</v>
      </c>
      <c r="BS4" s="50">
        <f>AN4</f>
        <v>0</v>
      </c>
      <c r="BT4" s="50">
        <f>AR4</f>
        <v>130.46250000000001</v>
      </c>
      <c r="BU4" s="50">
        <f>AT4</f>
        <v>0</v>
      </c>
      <c r="BV4" s="50">
        <f>AV4</f>
        <v>0</v>
      </c>
      <c r="BW4" s="50">
        <f>AP4</f>
        <v>0</v>
      </c>
      <c r="BX4" s="50">
        <f>W4</f>
        <v>0</v>
      </c>
      <c r="BY4" s="50">
        <f>SUM(BQ4:BX4)</f>
        <v>130.46250000000001</v>
      </c>
      <c r="CC4" s="50">
        <f>BO4</f>
        <v>3131.1000000000004</v>
      </c>
      <c r="CD4" s="50">
        <f t="shared" ref="CD4:CD24" si="13">CC4*Fci</f>
        <v>13597.92</v>
      </c>
      <c r="CE4" s="50">
        <f t="shared" ref="CE4:CE24" si="14">IF(CC4,((CD4-VLOOKUP(CD4,Isr,1))*VLOOKUP(CD4,Isr,3))+VLOOKUP(CD4,Isr,2),0)</f>
        <v>1611.0625279999999</v>
      </c>
      <c r="CF4" s="50">
        <f t="shared" ref="CF4:CF24" si="15">IF(CC4,VLOOKUP(CD4,Subs,2),0)</f>
        <v>0</v>
      </c>
      <c r="CG4" s="50">
        <f t="shared" ref="CG4:CG24" si="16">IF((CE4-CF4)&lt;0,0,((CE4-CF4)/Fci))</f>
        <v>370.96834526315791</v>
      </c>
      <c r="CH4" s="50">
        <f t="shared" ref="CH4:CH24" si="17">IF(CC4,IF((CE4-CF4)&lt;0,((CE4-CF4)/Fci),IF(CF4=0,0,-0.01)),0)</f>
        <v>0</v>
      </c>
      <c r="CJ4" s="50">
        <f t="shared" ref="CJ4:CJ24" si="18">IF(E4&gt;ExS,((E4-ExS)*K4)*$CJ$1,0)</f>
        <v>3.8687600000000004</v>
      </c>
      <c r="CK4" s="50">
        <f>E4*K4*$CK$1</f>
        <v>10.28055</v>
      </c>
      <c r="CL4" s="50">
        <f>E4*K4*$CL$1</f>
        <v>6.8536999999999999</v>
      </c>
      <c r="CM4" s="50">
        <f>E4*K4*$CM$1</f>
        <v>17.134250000000002</v>
      </c>
      <c r="CN4" s="50">
        <f>E4*K4*$CN$1</f>
        <v>30.841649999999998</v>
      </c>
      <c r="CO4" s="50">
        <f>SUM(CJ4:CN4)</f>
        <v>68.978909999999999</v>
      </c>
      <c r="CQ4" s="50">
        <f>IF(Z4="Cuota Fija",AA4,0)</f>
        <v>3568.95</v>
      </c>
      <c r="CR4" s="50">
        <f>IF(CQ4,(CQ4+Sdv)/30*K4,0)</f>
        <v>832.75499999999988</v>
      </c>
      <c r="CS4" s="50">
        <f>IF(Z4="VSM",AA4,0)</f>
        <v>0</v>
      </c>
      <c r="CT4" s="50">
        <f t="shared" ref="CT4:CT24" si="19">IF(CS4,(((CS4*Umi*2)+Sdv)/$CT$1)*K4,0)</f>
        <v>0</v>
      </c>
      <c r="CU4" s="50">
        <f>IF(Z4="Porcentaje",AA4,0)</f>
        <v>0</v>
      </c>
      <c r="CV4" s="50">
        <f t="shared" ref="CV4:CV24" si="20">IF(CU4,(((E4*CU4*2)+Sdv)/$CT$1)*K4,0)</f>
        <v>0</v>
      </c>
      <c r="CW4" s="50">
        <f>CR4+CT4+CV4</f>
        <v>832.75499999999988</v>
      </c>
    </row>
    <row r="5" spans="1:101" s="19" customFormat="1" x14ac:dyDescent="0.2">
      <c r="A5" s="43">
        <f>IF(AND(L!I5&lt;&gt;"Baja",L!I5&lt;&gt;""),L!A5,"")</f>
        <v>2</v>
      </c>
      <c r="B5" s="19" t="str">
        <f>IF(AND(L!I5&lt;&gt;"Baja",L!I5&lt;&gt;""),L!B5,"")</f>
        <v>ROBLERO DE LEON AZAEL</v>
      </c>
      <c r="C5" s="16">
        <f>IF(AND(L!I5&lt;&gt;"Baja",L!I5&lt;&gt;""),L!H5,0)</f>
        <v>335.24</v>
      </c>
      <c r="D5" s="17">
        <f>IF(AND(L!I5&lt;&gt;"Baja",L!I5&lt;&gt;""),1+(L!Q5+L!R5)/DA,0)</f>
        <v>1.0520547945205478</v>
      </c>
      <c r="E5" s="16">
        <f t="shared" ref="E5:E24" si="21">ROUND(C5*D5,2)</f>
        <v>352.69</v>
      </c>
      <c r="F5" s="16">
        <f t="shared" si="0"/>
        <v>41.905000000000001</v>
      </c>
      <c r="H5" s="18">
        <f>IF(A5&lt;&gt;"",IF(L!I5="Finiquito",L!J5-$N$1+1,DN),0)</f>
        <v>7</v>
      </c>
      <c r="I5" s="18"/>
      <c r="J5" s="18"/>
      <c r="K5" s="20">
        <f t="shared" si="1"/>
        <v>7</v>
      </c>
      <c r="M5" s="48"/>
      <c r="N5" s="48"/>
      <c r="O5" s="48"/>
      <c r="P5" s="49"/>
      <c r="Q5" s="48" t="str">
        <f>IF(P5,L!Q5,"")</f>
        <v/>
      </c>
      <c r="R5" s="48">
        <v>0.05</v>
      </c>
      <c r="S5" s="48">
        <v>0.1</v>
      </c>
      <c r="T5" s="48">
        <v>0.1</v>
      </c>
      <c r="U5" s="48"/>
      <c r="V5" s="48"/>
      <c r="W5" s="48"/>
      <c r="Y5" s="48"/>
      <c r="AA5" s="48"/>
      <c r="AB5" s="48">
        <v>250</v>
      </c>
      <c r="AC5" s="48"/>
      <c r="AD5" s="48"/>
      <c r="AE5" s="48"/>
      <c r="AI5" s="50">
        <f t="shared" si="2"/>
        <v>0</v>
      </c>
      <c r="AJ5" s="50">
        <f t="shared" si="3"/>
        <v>0</v>
      </c>
      <c r="AK5" s="50">
        <f t="shared" si="4"/>
        <v>0</v>
      </c>
      <c r="AL5" s="50">
        <f t="shared" ref="AL5:AL24" si="22">IF(AJ5&gt;AK5,AJ5-AK5,0)</f>
        <v>0</v>
      </c>
      <c r="AM5" s="50">
        <f t="shared" ref="AM5:AM24" si="23">IF(N5&gt;9,F5*(N5-9)*3,0)</f>
        <v>0</v>
      </c>
      <c r="AN5" s="50">
        <f t="shared" si="5"/>
        <v>0</v>
      </c>
      <c r="AO5" s="50">
        <f t="shared" si="6"/>
        <v>0</v>
      </c>
      <c r="AP5" s="50">
        <f t="shared" si="7"/>
        <v>0</v>
      </c>
      <c r="AQ5" s="50">
        <f t="shared" si="8"/>
        <v>0</v>
      </c>
      <c r="AR5" s="50">
        <f>(C5*R5*K5)-AS5</f>
        <v>117.334</v>
      </c>
      <c r="AS5" s="50">
        <f t="shared" si="9"/>
        <v>0</v>
      </c>
      <c r="AT5" s="50">
        <f t="shared" si="10"/>
        <v>0</v>
      </c>
      <c r="AU5" s="50">
        <f t="shared" ref="AU5:AU24" si="24">IF((C5*S5*K5)&gt;(C5*$AT$1*K5),C5*S5*K5,0)</f>
        <v>234.66800000000001</v>
      </c>
      <c r="AV5" s="50">
        <f t="shared" si="11"/>
        <v>0</v>
      </c>
      <c r="AW5" s="50">
        <f t="shared" ref="AW5:AW24" si="25">IF((C5*T5*K5)&gt;(C5*$AV$1*K5),(C5*T5*K5),0)</f>
        <v>234.66800000000001</v>
      </c>
      <c r="AX5" s="50">
        <f t="shared" ref="AX5:AX24" si="26">IF(AY5,O5-AY5,0)</f>
        <v>0</v>
      </c>
      <c r="AY5" s="50">
        <f t="shared" si="12"/>
        <v>0</v>
      </c>
      <c r="BC5" s="50">
        <f t="shared" ref="BC5:BC24" si="27">C5*K5</f>
        <v>2346.6800000000003</v>
      </c>
      <c r="BD5" s="50">
        <f t="shared" ref="BD5:BD24" si="28">M5</f>
        <v>0</v>
      </c>
      <c r="BE5" s="50">
        <f t="shared" ref="BE5:BE24" si="29">AJ5+AL5</f>
        <v>0</v>
      </c>
      <c r="BF5" s="50">
        <f t="shared" ref="BF5:BF24" si="30">AM5</f>
        <v>0</v>
      </c>
      <c r="BG5" s="50">
        <f t="shared" ref="BG5:BG24" si="31">AY5</f>
        <v>0</v>
      </c>
      <c r="BH5" s="50">
        <f>IF(P5,C5*L!P5,0)</f>
        <v>0</v>
      </c>
      <c r="BI5" s="50">
        <f t="shared" ref="BI5:BI24" si="32">AN5</f>
        <v>0</v>
      </c>
      <c r="BJ5" s="50">
        <f t="shared" ref="BJ5:BJ24" si="33">AS5</f>
        <v>0</v>
      </c>
      <c r="BK5" s="50">
        <f t="shared" ref="BK5:BK24" si="34">AU5</f>
        <v>234.66800000000001</v>
      </c>
      <c r="BL5" s="50">
        <f t="shared" ref="BL5:BL24" si="35">AW5</f>
        <v>234.66800000000001</v>
      </c>
      <c r="BM5" s="50">
        <f t="shared" ref="BM5:BM24" si="36">AQ5</f>
        <v>0</v>
      </c>
      <c r="BN5" s="50">
        <f t="shared" ref="BN5:BN24" si="37">V5</f>
        <v>0</v>
      </c>
      <c r="BO5" s="50">
        <f t="shared" ref="BO5:BO24" si="38">SUM(BC5:BN5)</f>
        <v>2816.0160000000005</v>
      </c>
      <c r="BQ5" s="50">
        <f t="shared" ref="BQ5:BQ24" si="39">AI5+AK5</f>
        <v>0</v>
      </c>
      <c r="BR5" s="50">
        <f t="shared" ref="BR5:BR24" si="40">AX5</f>
        <v>0</v>
      </c>
      <c r="BS5" s="50">
        <f t="shared" ref="BS5:BS24" si="41">AN5</f>
        <v>0</v>
      </c>
      <c r="BT5" s="50">
        <f t="shared" ref="BT5:BT24" si="42">AR5</f>
        <v>117.334</v>
      </c>
      <c r="BU5" s="50">
        <f t="shared" ref="BU5:BU24" si="43">AT5</f>
        <v>0</v>
      </c>
      <c r="BV5" s="50">
        <f t="shared" ref="BV5:BV24" si="44">AV5</f>
        <v>0</v>
      </c>
      <c r="BW5" s="50">
        <f t="shared" ref="BW5:BW24" si="45">AP5</f>
        <v>0</v>
      </c>
      <c r="BX5" s="50">
        <f t="shared" ref="BX5:BX24" si="46">W5</f>
        <v>0</v>
      </c>
      <c r="BY5" s="50">
        <f t="shared" ref="BY5:BY24" si="47">SUM(BQ5:BX5)</f>
        <v>117.334</v>
      </c>
      <c r="CC5" s="50">
        <f t="shared" ref="CC5:CC6" si="48">BO5</f>
        <v>2816.0160000000005</v>
      </c>
      <c r="CD5" s="50">
        <f t="shared" si="13"/>
        <v>12229.555200000001</v>
      </c>
      <c r="CE5" s="50">
        <f t="shared" si="14"/>
        <v>1318.7798067199999</v>
      </c>
      <c r="CF5" s="50">
        <f t="shared" si="15"/>
        <v>0</v>
      </c>
      <c r="CG5" s="50">
        <f t="shared" si="16"/>
        <v>303.66640286315788</v>
      </c>
      <c r="CH5" s="50">
        <f t="shared" si="17"/>
        <v>0</v>
      </c>
      <c r="CJ5" s="50">
        <f t="shared" si="18"/>
        <v>2.7781600000000006</v>
      </c>
      <c r="CK5" s="50">
        <f t="shared" ref="CK5:CK24" si="49">E5*K5*$CK$1</f>
        <v>9.2581124999999993</v>
      </c>
      <c r="CL5" s="50">
        <f t="shared" ref="CL5:CL24" si="50">E5*K5*$CL$1</f>
        <v>6.1720749999999995</v>
      </c>
      <c r="CM5" s="50">
        <f t="shared" ref="CM5:CM24" si="51">E5*K5*$CM$1</f>
        <v>15.430187500000001</v>
      </c>
      <c r="CN5" s="50">
        <f t="shared" ref="CN5:CN24" si="52">E5*K5*$CN$1</f>
        <v>27.774337499999998</v>
      </c>
      <c r="CO5" s="50">
        <f t="shared" ref="CO5:CO24" si="53">SUM(CJ5:CN5)</f>
        <v>61.412872499999992</v>
      </c>
      <c r="CQ5" s="50">
        <f t="shared" ref="CQ5:CQ24" si="54">IF(Z5="Cuota Fija",AA5,0)</f>
        <v>0</v>
      </c>
      <c r="CR5" s="50">
        <f t="shared" ref="CR5:CR24" si="55">IF(CQ5,(CQ5+Sdv)/30*K5,0)</f>
        <v>0</v>
      </c>
      <c r="CS5" s="50">
        <f t="shared" ref="CS5:CS24" si="56">IF(Z5="VSM",AA5,0)</f>
        <v>0</v>
      </c>
      <c r="CT5" s="50">
        <f t="shared" si="19"/>
        <v>0</v>
      </c>
      <c r="CU5" s="50">
        <f t="shared" ref="CU5:CU24" si="57">IF(Z5="Porcentaje",AA5,0)</f>
        <v>0</v>
      </c>
      <c r="CV5" s="50">
        <f t="shared" si="20"/>
        <v>0</v>
      </c>
      <c r="CW5" s="50">
        <f t="shared" ref="CW5:CW24" si="58">CR5+CT5+CV5</f>
        <v>0</v>
      </c>
    </row>
    <row r="6" spans="1:101" s="19" customFormat="1" x14ac:dyDescent="0.2">
      <c r="A6" s="43">
        <f>IF(AND(L!I6&lt;&gt;"Baja",L!I6&lt;&gt;""),L!A6,"")</f>
        <v>3</v>
      </c>
      <c r="B6" s="19" t="str">
        <f>IF(AND(L!I6&lt;&gt;"Baja",L!I6&lt;&gt;""),L!B6,"")</f>
        <v>ESCOBAR PERALTA PEDRO MATEO</v>
      </c>
      <c r="C6" s="16">
        <f>IF(AND(L!I6&lt;&gt;"Baja",L!I6&lt;&gt;""),L!H6,0)</f>
        <v>262.66000000000003</v>
      </c>
      <c r="D6" s="17">
        <f>IF(AND(L!I6&lt;&gt;"Baja",L!I6&lt;&gt;""),1+(L!Q6+L!R6)/DA,0)</f>
        <v>1.0520547945205478</v>
      </c>
      <c r="E6" s="16">
        <f t="shared" si="21"/>
        <v>276.33</v>
      </c>
      <c r="F6" s="16">
        <f t="shared" si="0"/>
        <v>32.832500000000003</v>
      </c>
      <c r="H6" s="18">
        <f>IF(A6&lt;&gt;"",IF(L!I6="Finiquito",L!J6-$N$1+1,DN),0)</f>
        <v>7</v>
      </c>
      <c r="I6" s="18"/>
      <c r="J6" s="18"/>
      <c r="K6" s="20">
        <f t="shared" si="1"/>
        <v>7</v>
      </c>
      <c r="M6" s="48"/>
      <c r="N6" s="48"/>
      <c r="O6" s="48"/>
      <c r="P6" s="49"/>
      <c r="Q6" s="48" t="str">
        <f>IF(P6,L!Q6,"")</f>
        <v/>
      </c>
      <c r="R6" s="48">
        <v>0.05</v>
      </c>
      <c r="S6" s="48">
        <v>0.1</v>
      </c>
      <c r="T6" s="48">
        <v>0.1</v>
      </c>
      <c r="U6" s="48"/>
      <c r="V6" s="48"/>
      <c r="W6" s="48"/>
      <c r="Y6" s="48"/>
      <c r="AA6" s="48"/>
      <c r="AB6" s="48"/>
      <c r="AC6" s="48"/>
      <c r="AD6" s="48"/>
      <c r="AE6" s="48"/>
      <c r="AI6" s="50">
        <f t="shared" si="2"/>
        <v>0</v>
      </c>
      <c r="AJ6" s="50">
        <f t="shared" si="3"/>
        <v>0</v>
      </c>
      <c r="AK6" s="50">
        <f t="shared" si="4"/>
        <v>0</v>
      </c>
      <c r="AL6" s="50">
        <f t="shared" si="22"/>
        <v>0</v>
      </c>
      <c r="AM6" s="50">
        <f t="shared" si="23"/>
        <v>0</v>
      </c>
      <c r="AN6" s="50">
        <f t="shared" si="5"/>
        <v>0</v>
      </c>
      <c r="AO6" s="50">
        <f t="shared" si="6"/>
        <v>0</v>
      </c>
      <c r="AP6" s="50">
        <f t="shared" si="7"/>
        <v>0</v>
      </c>
      <c r="AQ6" s="50">
        <f t="shared" si="8"/>
        <v>0</v>
      </c>
      <c r="AR6" s="50">
        <f t="shared" ref="AR6:AR24" si="59">(C6*R6*K6)-AS6</f>
        <v>91.931000000000012</v>
      </c>
      <c r="AS6" s="50">
        <f t="shared" si="9"/>
        <v>0</v>
      </c>
      <c r="AT6" s="50">
        <f t="shared" si="10"/>
        <v>0</v>
      </c>
      <c r="AU6" s="50">
        <f t="shared" si="24"/>
        <v>183.86200000000002</v>
      </c>
      <c r="AV6" s="50">
        <f t="shared" si="11"/>
        <v>0</v>
      </c>
      <c r="AW6" s="50">
        <f t="shared" si="25"/>
        <v>183.86200000000002</v>
      </c>
      <c r="AX6" s="50">
        <f t="shared" si="26"/>
        <v>0</v>
      </c>
      <c r="AY6" s="50">
        <f t="shared" si="12"/>
        <v>0</v>
      </c>
      <c r="BC6" s="50">
        <f t="shared" si="27"/>
        <v>1838.6200000000001</v>
      </c>
      <c r="BD6" s="50">
        <f t="shared" si="28"/>
        <v>0</v>
      </c>
      <c r="BE6" s="50">
        <f t="shared" si="29"/>
        <v>0</v>
      </c>
      <c r="BF6" s="50">
        <f t="shared" si="30"/>
        <v>0</v>
      </c>
      <c r="BG6" s="50">
        <f t="shared" si="31"/>
        <v>0</v>
      </c>
      <c r="BH6" s="50">
        <f>IF(P6,C6*L!P6,0)</f>
        <v>0</v>
      </c>
      <c r="BI6" s="50">
        <f t="shared" si="32"/>
        <v>0</v>
      </c>
      <c r="BJ6" s="50">
        <f t="shared" si="33"/>
        <v>0</v>
      </c>
      <c r="BK6" s="50">
        <f t="shared" si="34"/>
        <v>183.86200000000002</v>
      </c>
      <c r="BL6" s="50">
        <f t="shared" si="35"/>
        <v>183.86200000000002</v>
      </c>
      <c r="BM6" s="50">
        <f t="shared" si="36"/>
        <v>0</v>
      </c>
      <c r="BN6" s="50">
        <f t="shared" si="37"/>
        <v>0</v>
      </c>
      <c r="BO6" s="50">
        <f t="shared" si="38"/>
        <v>2206.3440000000001</v>
      </c>
      <c r="BQ6" s="50">
        <f t="shared" si="39"/>
        <v>0</v>
      </c>
      <c r="BR6" s="50">
        <f t="shared" si="40"/>
        <v>0</v>
      </c>
      <c r="BS6" s="50">
        <f t="shared" si="41"/>
        <v>0</v>
      </c>
      <c r="BT6" s="50">
        <f t="shared" si="42"/>
        <v>91.931000000000012</v>
      </c>
      <c r="BU6" s="50">
        <f t="shared" si="43"/>
        <v>0</v>
      </c>
      <c r="BV6" s="50">
        <f t="shared" si="44"/>
        <v>0</v>
      </c>
      <c r="BW6" s="50">
        <f t="shared" si="45"/>
        <v>0</v>
      </c>
      <c r="BX6" s="50">
        <f t="shared" si="46"/>
        <v>0</v>
      </c>
      <c r="BY6" s="50">
        <f t="shared" si="47"/>
        <v>91.931000000000012</v>
      </c>
      <c r="CC6" s="50">
        <f t="shared" si="48"/>
        <v>2206.3440000000001</v>
      </c>
      <c r="CD6" s="50">
        <f t="shared" si="13"/>
        <v>9581.8367999999991</v>
      </c>
      <c r="CE6" s="50">
        <f t="shared" si="14"/>
        <v>845.38188799999978</v>
      </c>
      <c r="CF6" s="50">
        <f t="shared" si="15"/>
        <v>0</v>
      </c>
      <c r="CG6" s="50">
        <f t="shared" si="16"/>
        <v>194.6603031578947</v>
      </c>
      <c r="CH6" s="50">
        <f t="shared" si="17"/>
        <v>0</v>
      </c>
      <c r="CJ6" s="50">
        <f t="shared" si="18"/>
        <v>0.64008000000000043</v>
      </c>
      <c r="CK6" s="50">
        <f t="shared" si="49"/>
        <v>7.2536624999999999</v>
      </c>
      <c r="CL6" s="50">
        <f t="shared" si="50"/>
        <v>4.8357749999999999</v>
      </c>
      <c r="CM6" s="50">
        <f t="shared" si="51"/>
        <v>12.089437500000001</v>
      </c>
      <c r="CN6" s="50">
        <f t="shared" si="52"/>
        <v>21.760987499999999</v>
      </c>
      <c r="CO6" s="50">
        <f t="shared" si="53"/>
        <v>46.579942500000001</v>
      </c>
      <c r="CQ6" s="50">
        <f t="shared" si="54"/>
        <v>0</v>
      </c>
      <c r="CR6" s="50">
        <f t="shared" si="55"/>
        <v>0</v>
      </c>
      <c r="CS6" s="50">
        <f t="shared" si="56"/>
        <v>0</v>
      </c>
      <c r="CT6" s="50">
        <f t="shared" si="19"/>
        <v>0</v>
      </c>
      <c r="CU6" s="50">
        <f t="shared" si="57"/>
        <v>0</v>
      </c>
      <c r="CV6" s="50">
        <f t="shared" si="20"/>
        <v>0</v>
      </c>
      <c r="CW6" s="50">
        <f t="shared" si="58"/>
        <v>0</v>
      </c>
    </row>
    <row r="7" spans="1:101" s="19" customFormat="1" hidden="1" x14ac:dyDescent="0.2">
      <c r="A7" s="43" t="str">
        <f>IF(AND(L!I7&lt;&gt;"Baja",L!I7&lt;&gt;""),L!A7,"")</f>
        <v/>
      </c>
      <c r="B7" s="19" t="str">
        <f>IF(AND(L!I7&lt;&gt;"Baja",L!I7&lt;&gt;""),L!B7,"")</f>
        <v/>
      </c>
      <c r="C7" s="16">
        <f>IF(AND(L!I7&lt;&gt;"Baja",L!I7&lt;&gt;""),L!H7,0)</f>
        <v>0</v>
      </c>
      <c r="D7" s="17">
        <f>IF(AND(L!I7&lt;&gt;"Baja",L!I7&lt;&gt;""),1+(L!Q7+L!R7)/DA,0)</f>
        <v>0</v>
      </c>
      <c r="E7" s="16">
        <f t="shared" si="21"/>
        <v>0</v>
      </c>
      <c r="F7" s="16">
        <f t="shared" si="0"/>
        <v>0</v>
      </c>
      <c r="H7" s="18">
        <f>IF(A7&lt;&gt;"",IF(L!I7="Finiquito",L!J7-$N$1+1,DN),0)</f>
        <v>0</v>
      </c>
      <c r="I7" s="18"/>
      <c r="J7" s="18"/>
      <c r="K7" s="20">
        <f t="shared" si="1"/>
        <v>0</v>
      </c>
      <c r="M7" s="48"/>
      <c r="N7" s="48"/>
      <c r="O7" s="48"/>
      <c r="P7" s="49"/>
      <c r="Q7" s="48" t="str">
        <f>IF(P7,L!Q7,"")</f>
        <v/>
      </c>
      <c r="R7" s="48">
        <v>0.05</v>
      </c>
      <c r="S7" s="48">
        <v>0.1</v>
      </c>
      <c r="T7" s="48">
        <v>0.1</v>
      </c>
      <c r="U7" s="48"/>
      <c r="V7" s="48"/>
      <c r="W7" s="48"/>
      <c r="Y7" s="48"/>
      <c r="Z7" s="19" t="s">
        <v>51</v>
      </c>
      <c r="AA7" s="48"/>
      <c r="AB7" s="48"/>
      <c r="AC7" s="48"/>
      <c r="AD7" s="48"/>
      <c r="AE7" s="48"/>
      <c r="AI7" s="50">
        <f t="shared" si="2"/>
        <v>0</v>
      </c>
      <c r="AJ7" s="50">
        <f t="shared" si="3"/>
        <v>0</v>
      </c>
      <c r="AK7" s="50">
        <f t="shared" si="4"/>
        <v>0</v>
      </c>
      <c r="AL7" s="50">
        <f t="shared" si="22"/>
        <v>0</v>
      </c>
      <c r="AM7" s="50">
        <f t="shared" si="23"/>
        <v>0</v>
      </c>
      <c r="AN7" s="50">
        <f t="shared" si="5"/>
        <v>0</v>
      </c>
      <c r="AO7" s="50">
        <f t="shared" si="6"/>
        <v>0</v>
      </c>
      <c r="AP7" s="50">
        <f t="shared" si="7"/>
        <v>0</v>
      </c>
      <c r="AQ7" s="50">
        <f t="shared" si="8"/>
        <v>0</v>
      </c>
      <c r="AR7" s="50">
        <f t="shared" si="59"/>
        <v>0</v>
      </c>
      <c r="AS7" s="50">
        <f t="shared" si="9"/>
        <v>0</v>
      </c>
      <c r="AT7" s="50">
        <f t="shared" si="10"/>
        <v>0</v>
      </c>
      <c r="AU7" s="50">
        <f t="shared" si="24"/>
        <v>0</v>
      </c>
      <c r="AV7" s="50">
        <f t="shared" si="11"/>
        <v>0</v>
      </c>
      <c r="AW7" s="50">
        <f t="shared" si="25"/>
        <v>0</v>
      </c>
      <c r="AX7" s="50">
        <f t="shared" si="26"/>
        <v>0</v>
      </c>
      <c r="AY7" s="50">
        <f t="shared" si="12"/>
        <v>0</v>
      </c>
      <c r="BC7" s="50">
        <f t="shared" si="27"/>
        <v>0</v>
      </c>
      <c r="BD7" s="50">
        <f t="shared" si="28"/>
        <v>0</v>
      </c>
      <c r="BE7" s="50">
        <f t="shared" si="29"/>
        <v>0</v>
      </c>
      <c r="BF7" s="50">
        <f t="shared" si="30"/>
        <v>0</v>
      </c>
      <c r="BG7" s="50">
        <f t="shared" si="31"/>
        <v>0</v>
      </c>
      <c r="BH7" s="50">
        <f>IF(P7,C7*L!P7,0)</f>
        <v>0</v>
      </c>
      <c r="BI7" s="50">
        <f t="shared" si="32"/>
        <v>0</v>
      </c>
      <c r="BJ7" s="50">
        <f t="shared" si="33"/>
        <v>0</v>
      </c>
      <c r="BK7" s="50">
        <f t="shared" si="34"/>
        <v>0</v>
      </c>
      <c r="BL7" s="50">
        <f t="shared" si="35"/>
        <v>0</v>
      </c>
      <c r="BM7" s="50">
        <f t="shared" si="36"/>
        <v>0</v>
      </c>
      <c r="BN7" s="50">
        <f t="shared" si="37"/>
        <v>0</v>
      </c>
      <c r="BO7" s="50">
        <f t="shared" si="38"/>
        <v>0</v>
      </c>
      <c r="BQ7" s="50">
        <f t="shared" si="39"/>
        <v>0</v>
      </c>
      <c r="BR7" s="50">
        <f t="shared" si="40"/>
        <v>0</v>
      </c>
      <c r="BS7" s="50">
        <f t="shared" si="41"/>
        <v>0</v>
      </c>
      <c r="BT7" s="50">
        <f t="shared" si="42"/>
        <v>0</v>
      </c>
      <c r="BU7" s="50">
        <f t="shared" si="43"/>
        <v>0</v>
      </c>
      <c r="BV7" s="50">
        <f t="shared" si="44"/>
        <v>0</v>
      </c>
      <c r="BW7" s="50">
        <f t="shared" si="45"/>
        <v>0</v>
      </c>
      <c r="BX7" s="50">
        <f t="shared" si="46"/>
        <v>0</v>
      </c>
      <c r="BY7" s="50">
        <f t="shared" si="47"/>
        <v>0</v>
      </c>
      <c r="CC7" s="50">
        <f>BO7</f>
        <v>0</v>
      </c>
      <c r="CD7" s="50">
        <f t="shared" si="13"/>
        <v>0</v>
      </c>
      <c r="CE7" s="50">
        <f t="shared" si="14"/>
        <v>0</v>
      </c>
      <c r="CF7" s="50">
        <f t="shared" si="15"/>
        <v>0</v>
      </c>
      <c r="CG7" s="50">
        <f t="shared" si="16"/>
        <v>0</v>
      </c>
      <c r="CH7" s="50">
        <f t="shared" si="17"/>
        <v>0</v>
      </c>
      <c r="CJ7" s="50">
        <f t="shared" si="18"/>
        <v>0</v>
      </c>
      <c r="CK7" s="50">
        <f t="shared" si="49"/>
        <v>0</v>
      </c>
      <c r="CL7" s="50">
        <f t="shared" si="50"/>
        <v>0</v>
      </c>
      <c r="CM7" s="50">
        <f t="shared" si="51"/>
        <v>0</v>
      </c>
      <c r="CN7" s="50">
        <f t="shared" si="52"/>
        <v>0</v>
      </c>
      <c r="CO7" s="50">
        <f t="shared" si="53"/>
        <v>0</v>
      </c>
      <c r="CQ7" s="50">
        <f t="shared" si="54"/>
        <v>0</v>
      </c>
      <c r="CR7" s="50">
        <f t="shared" si="55"/>
        <v>0</v>
      </c>
      <c r="CS7" s="50">
        <f t="shared" si="56"/>
        <v>0</v>
      </c>
      <c r="CT7" s="50">
        <f t="shared" si="19"/>
        <v>0</v>
      </c>
      <c r="CU7" s="50">
        <f t="shared" si="57"/>
        <v>0</v>
      </c>
      <c r="CV7" s="50">
        <f t="shared" si="20"/>
        <v>0</v>
      </c>
      <c r="CW7" s="50">
        <f t="shared" si="58"/>
        <v>0</v>
      </c>
    </row>
    <row r="8" spans="1:101" s="19" customFormat="1" x14ac:dyDescent="0.2">
      <c r="A8" s="43">
        <f>IF(AND(L!I8&lt;&gt;"Baja",L!I8&lt;&gt;""),L!A8,"")</f>
        <v>5</v>
      </c>
      <c r="B8" s="19" t="str">
        <f>IF(AND(L!I8&lt;&gt;"Baja",L!I8&lt;&gt;""),L!B8,"")</f>
        <v>FLORES GONZALEZ BENITO</v>
      </c>
      <c r="C8" s="16">
        <f>IF(AND(L!I8&lt;&gt;"Baja",L!I8&lt;&gt;""),L!H8,0)</f>
        <v>197.41</v>
      </c>
      <c r="D8" s="17">
        <f>IF(AND(L!I8&lt;&gt;"Baja",L!I8&lt;&gt;""),1+(L!Q8+L!R8)/DA,0)</f>
        <v>1.0506849315068494</v>
      </c>
      <c r="E8" s="16">
        <f t="shared" si="21"/>
        <v>207.42</v>
      </c>
      <c r="F8" s="16">
        <f t="shared" si="0"/>
        <v>24.67625</v>
      </c>
      <c r="H8" s="18">
        <f>IF(A8&lt;&gt;"",IF(L!I8="Finiquito",L!J8-$N$1+1,DN),0)</f>
        <v>7</v>
      </c>
      <c r="I8" s="18"/>
      <c r="J8" s="18"/>
      <c r="K8" s="20">
        <f t="shared" si="1"/>
        <v>7</v>
      </c>
      <c r="M8" s="48"/>
      <c r="N8" s="48"/>
      <c r="O8" s="48"/>
      <c r="P8" s="49"/>
      <c r="Q8" s="48" t="str">
        <f>IF(P8,L!Q8,"")</f>
        <v/>
      </c>
      <c r="R8" s="48">
        <v>0.05</v>
      </c>
      <c r="S8" s="48">
        <v>0.1</v>
      </c>
      <c r="T8" s="48">
        <v>0.1</v>
      </c>
      <c r="U8" s="48"/>
      <c r="V8" s="48"/>
      <c r="W8" s="48"/>
      <c r="Y8" s="48"/>
      <c r="AA8" s="48"/>
      <c r="AB8" s="48"/>
      <c r="AC8" s="48"/>
      <c r="AD8" s="48"/>
      <c r="AE8" s="48"/>
      <c r="AI8" s="50">
        <f t="shared" si="2"/>
        <v>0</v>
      </c>
      <c r="AJ8" s="50">
        <f t="shared" si="3"/>
        <v>0</v>
      </c>
      <c r="AK8" s="50">
        <f t="shared" si="4"/>
        <v>0</v>
      </c>
      <c r="AL8" s="50">
        <f t="shared" si="22"/>
        <v>0</v>
      </c>
      <c r="AM8" s="50">
        <f t="shared" si="23"/>
        <v>0</v>
      </c>
      <c r="AN8" s="50">
        <f t="shared" si="5"/>
        <v>0</v>
      </c>
      <c r="AO8" s="50">
        <f t="shared" si="6"/>
        <v>0</v>
      </c>
      <c r="AP8" s="50">
        <f t="shared" si="7"/>
        <v>0</v>
      </c>
      <c r="AQ8" s="50">
        <f t="shared" si="8"/>
        <v>0</v>
      </c>
      <c r="AR8" s="50">
        <f t="shared" si="59"/>
        <v>69.093500000000006</v>
      </c>
      <c r="AS8" s="50">
        <f t="shared" si="9"/>
        <v>0</v>
      </c>
      <c r="AT8" s="50">
        <f t="shared" si="10"/>
        <v>0</v>
      </c>
      <c r="AU8" s="50">
        <f t="shared" si="24"/>
        <v>138.18700000000001</v>
      </c>
      <c r="AV8" s="50">
        <f t="shared" si="11"/>
        <v>0</v>
      </c>
      <c r="AW8" s="50">
        <f t="shared" si="25"/>
        <v>138.18700000000001</v>
      </c>
      <c r="AX8" s="50">
        <f t="shared" si="26"/>
        <v>0</v>
      </c>
      <c r="AY8" s="50">
        <f t="shared" si="12"/>
        <v>0</v>
      </c>
      <c r="BC8" s="50">
        <f t="shared" si="27"/>
        <v>1381.87</v>
      </c>
      <c r="BD8" s="50">
        <f t="shared" si="28"/>
        <v>0</v>
      </c>
      <c r="BE8" s="50">
        <f t="shared" si="29"/>
        <v>0</v>
      </c>
      <c r="BF8" s="50">
        <f t="shared" si="30"/>
        <v>0</v>
      </c>
      <c r="BG8" s="50">
        <f t="shared" si="31"/>
        <v>0</v>
      </c>
      <c r="BH8" s="50">
        <f>IF(P8,C8*L!P8,0)</f>
        <v>0</v>
      </c>
      <c r="BI8" s="50">
        <f t="shared" si="32"/>
        <v>0</v>
      </c>
      <c r="BJ8" s="50">
        <f t="shared" si="33"/>
        <v>0</v>
      </c>
      <c r="BK8" s="50">
        <f t="shared" si="34"/>
        <v>138.18700000000001</v>
      </c>
      <c r="BL8" s="50">
        <f t="shared" si="35"/>
        <v>138.18700000000001</v>
      </c>
      <c r="BM8" s="50">
        <f t="shared" si="36"/>
        <v>0</v>
      </c>
      <c r="BN8" s="50">
        <f t="shared" si="37"/>
        <v>0</v>
      </c>
      <c r="BO8" s="50">
        <f t="shared" si="38"/>
        <v>1658.2439999999997</v>
      </c>
      <c r="BQ8" s="50">
        <f t="shared" si="39"/>
        <v>0</v>
      </c>
      <c r="BR8" s="50">
        <f t="shared" si="40"/>
        <v>0</v>
      </c>
      <c r="BS8" s="50">
        <f t="shared" si="41"/>
        <v>0</v>
      </c>
      <c r="BT8" s="50">
        <f t="shared" si="42"/>
        <v>69.093500000000006</v>
      </c>
      <c r="BU8" s="50">
        <f t="shared" si="43"/>
        <v>0</v>
      </c>
      <c r="BV8" s="50">
        <f t="shared" si="44"/>
        <v>0</v>
      </c>
      <c r="BW8" s="50">
        <f t="shared" si="45"/>
        <v>0</v>
      </c>
      <c r="BX8" s="50">
        <f t="shared" si="46"/>
        <v>0</v>
      </c>
      <c r="BY8" s="50">
        <f t="shared" si="47"/>
        <v>69.093500000000006</v>
      </c>
      <c r="CC8" s="50">
        <f t="shared" ref="CC8" si="60">BO8</f>
        <v>1658.2439999999997</v>
      </c>
      <c r="CD8" s="50">
        <f t="shared" si="13"/>
        <v>7201.5167999999985</v>
      </c>
      <c r="CE8" s="50">
        <f t="shared" si="14"/>
        <v>537.62744383999984</v>
      </c>
      <c r="CF8" s="50">
        <f t="shared" si="15"/>
        <v>217.61</v>
      </c>
      <c r="CG8" s="50">
        <f t="shared" si="16"/>
        <v>73.688227199999972</v>
      </c>
      <c r="CH8" s="50">
        <f t="shared" si="17"/>
        <v>-0.01</v>
      </c>
      <c r="CJ8" s="50">
        <f t="shared" si="18"/>
        <v>0</v>
      </c>
      <c r="CK8" s="50">
        <f t="shared" si="49"/>
        <v>5.444774999999999</v>
      </c>
      <c r="CL8" s="50">
        <f t="shared" si="50"/>
        <v>3.6298499999999998</v>
      </c>
      <c r="CM8" s="50">
        <f t="shared" si="51"/>
        <v>9.0746249999999993</v>
      </c>
      <c r="CN8" s="50">
        <f t="shared" si="52"/>
        <v>16.334324999999996</v>
      </c>
      <c r="CO8" s="50">
        <f t="shared" si="53"/>
        <v>34.483574999999995</v>
      </c>
      <c r="CQ8" s="50">
        <f t="shared" si="54"/>
        <v>0</v>
      </c>
      <c r="CR8" s="50">
        <f t="shared" si="55"/>
        <v>0</v>
      </c>
      <c r="CS8" s="50">
        <f t="shared" si="56"/>
        <v>0</v>
      </c>
      <c r="CT8" s="50">
        <f t="shared" si="19"/>
        <v>0</v>
      </c>
      <c r="CU8" s="50">
        <f t="shared" si="57"/>
        <v>0</v>
      </c>
      <c r="CV8" s="50">
        <f t="shared" si="20"/>
        <v>0</v>
      </c>
      <c r="CW8" s="50">
        <f t="shared" si="58"/>
        <v>0</v>
      </c>
    </row>
    <row r="9" spans="1:101" s="19" customFormat="1" x14ac:dyDescent="0.2">
      <c r="A9" s="43">
        <f>IF(AND(L!I9&lt;&gt;"Baja",L!I9&lt;&gt;""),L!A9,"")</f>
        <v>6</v>
      </c>
      <c r="B9" s="19" t="str">
        <f>IF(AND(L!I9&lt;&gt;"Baja",L!I9&lt;&gt;""),L!B9,"")</f>
        <v>ALQUEZADA MORAN MIGUEL</v>
      </c>
      <c r="C9" s="16">
        <f>IF(AND(L!I9&lt;&gt;"Baja",L!I9&lt;&gt;""),L!H9,0)</f>
        <v>335.24</v>
      </c>
      <c r="D9" s="17">
        <f>IF(AND(L!I9&lt;&gt;"Baja",L!I9&lt;&gt;""),1+(L!Q9+L!R9)/DA,0)</f>
        <v>1.0506849315068494</v>
      </c>
      <c r="E9" s="16">
        <f t="shared" si="21"/>
        <v>352.23</v>
      </c>
      <c r="F9" s="16">
        <f t="shared" si="0"/>
        <v>41.905000000000001</v>
      </c>
      <c r="H9" s="18">
        <f>IF(A9&lt;&gt;"",IF(L!I9="Finiquito",L!J9-$N$1+1,DN),0)</f>
        <v>7</v>
      </c>
      <c r="I9" s="18"/>
      <c r="J9" s="18"/>
      <c r="K9" s="20">
        <f t="shared" si="1"/>
        <v>7</v>
      </c>
      <c r="M9" s="48"/>
      <c r="N9" s="48"/>
      <c r="O9" s="48"/>
      <c r="P9" s="49"/>
      <c r="Q9" s="48" t="str">
        <f>IF(P9,L!Q9,"")</f>
        <v/>
      </c>
      <c r="R9" s="48">
        <v>0.05</v>
      </c>
      <c r="S9" s="48">
        <v>0.1</v>
      </c>
      <c r="T9" s="48">
        <v>0.1</v>
      </c>
      <c r="U9" s="48"/>
      <c r="V9" s="48"/>
      <c r="W9" s="48"/>
      <c r="Y9" s="48"/>
      <c r="AA9" s="48"/>
      <c r="AB9" s="48"/>
      <c r="AC9" s="48"/>
      <c r="AD9" s="48"/>
      <c r="AE9" s="48"/>
      <c r="AI9" s="50">
        <f t="shared" si="2"/>
        <v>0</v>
      </c>
      <c r="AJ9" s="50">
        <f t="shared" si="3"/>
        <v>0</v>
      </c>
      <c r="AK9" s="50">
        <f t="shared" si="4"/>
        <v>0</v>
      </c>
      <c r="AL9" s="50">
        <f t="shared" si="22"/>
        <v>0</v>
      </c>
      <c r="AM9" s="50">
        <f t="shared" si="23"/>
        <v>0</v>
      </c>
      <c r="AN9" s="50">
        <f t="shared" si="5"/>
        <v>0</v>
      </c>
      <c r="AO9" s="50">
        <f t="shared" si="6"/>
        <v>0</v>
      </c>
      <c r="AP9" s="50">
        <f t="shared" si="7"/>
        <v>0</v>
      </c>
      <c r="AQ9" s="50">
        <f t="shared" si="8"/>
        <v>0</v>
      </c>
      <c r="AR9" s="50">
        <f t="shared" si="59"/>
        <v>117.334</v>
      </c>
      <c r="AS9" s="50">
        <f t="shared" si="9"/>
        <v>0</v>
      </c>
      <c r="AT9" s="50">
        <f t="shared" si="10"/>
        <v>0</v>
      </c>
      <c r="AU9" s="50">
        <f t="shared" si="24"/>
        <v>234.66800000000001</v>
      </c>
      <c r="AV9" s="50">
        <f t="shared" si="11"/>
        <v>0</v>
      </c>
      <c r="AW9" s="50">
        <f t="shared" si="25"/>
        <v>234.66800000000001</v>
      </c>
      <c r="AX9" s="50">
        <f t="shared" si="26"/>
        <v>0</v>
      </c>
      <c r="AY9" s="50">
        <f t="shared" si="12"/>
        <v>0</v>
      </c>
      <c r="BC9" s="50">
        <f t="shared" si="27"/>
        <v>2346.6800000000003</v>
      </c>
      <c r="BD9" s="50">
        <f t="shared" si="28"/>
        <v>0</v>
      </c>
      <c r="BE9" s="50">
        <f t="shared" si="29"/>
        <v>0</v>
      </c>
      <c r="BF9" s="50">
        <f t="shared" si="30"/>
        <v>0</v>
      </c>
      <c r="BG9" s="50">
        <f t="shared" si="31"/>
        <v>0</v>
      </c>
      <c r="BH9" s="50">
        <f>IF(P9,C9*L!P9,0)</f>
        <v>0</v>
      </c>
      <c r="BI9" s="50">
        <f t="shared" si="32"/>
        <v>0</v>
      </c>
      <c r="BJ9" s="50">
        <f t="shared" si="33"/>
        <v>0</v>
      </c>
      <c r="BK9" s="50">
        <f t="shared" si="34"/>
        <v>234.66800000000001</v>
      </c>
      <c r="BL9" s="50">
        <f t="shared" si="35"/>
        <v>234.66800000000001</v>
      </c>
      <c r="BM9" s="50">
        <f t="shared" si="36"/>
        <v>0</v>
      </c>
      <c r="BN9" s="50">
        <f t="shared" si="37"/>
        <v>0</v>
      </c>
      <c r="BO9" s="50">
        <f t="shared" si="38"/>
        <v>2816.0160000000005</v>
      </c>
      <c r="BQ9" s="50">
        <f t="shared" si="39"/>
        <v>0</v>
      </c>
      <c r="BR9" s="50">
        <f t="shared" si="40"/>
        <v>0</v>
      </c>
      <c r="BS9" s="50">
        <f t="shared" si="41"/>
        <v>0</v>
      </c>
      <c r="BT9" s="50">
        <f t="shared" si="42"/>
        <v>117.334</v>
      </c>
      <c r="BU9" s="50">
        <f t="shared" si="43"/>
        <v>0</v>
      </c>
      <c r="BV9" s="50">
        <f t="shared" si="44"/>
        <v>0</v>
      </c>
      <c r="BW9" s="50">
        <f t="shared" si="45"/>
        <v>0</v>
      </c>
      <c r="BX9" s="50">
        <f t="shared" si="46"/>
        <v>0</v>
      </c>
      <c r="BY9" s="50">
        <f t="shared" si="47"/>
        <v>117.334</v>
      </c>
      <c r="CC9" s="50">
        <f t="shared" ref="CC9:CC24" si="61">BO9</f>
        <v>2816.0160000000005</v>
      </c>
      <c r="CD9" s="50">
        <f t="shared" si="13"/>
        <v>12229.555200000001</v>
      </c>
      <c r="CE9" s="50">
        <f t="shared" si="14"/>
        <v>1318.7798067199999</v>
      </c>
      <c r="CF9" s="50">
        <f t="shared" si="15"/>
        <v>0</v>
      </c>
      <c r="CG9" s="50">
        <f t="shared" si="16"/>
        <v>303.66640286315788</v>
      </c>
      <c r="CH9" s="50">
        <f t="shared" si="17"/>
        <v>0</v>
      </c>
      <c r="CJ9" s="50">
        <f t="shared" si="18"/>
        <v>2.7652800000000015</v>
      </c>
      <c r="CK9" s="50">
        <f t="shared" si="49"/>
        <v>9.2460374999999999</v>
      </c>
      <c r="CL9" s="50">
        <f t="shared" si="50"/>
        <v>6.1640250000000005</v>
      </c>
      <c r="CM9" s="50">
        <f t="shared" si="51"/>
        <v>15.410062500000002</v>
      </c>
      <c r="CN9" s="50">
        <f t="shared" si="52"/>
        <v>27.7381125</v>
      </c>
      <c r="CO9" s="50">
        <f t="shared" si="53"/>
        <v>61.323517500000001</v>
      </c>
      <c r="CQ9" s="50">
        <f t="shared" si="54"/>
        <v>0</v>
      </c>
      <c r="CR9" s="50">
        <f t="shared" si="55"/>
        <v>0</v>
      </c>
      <c r="CS9" s="50">
        <f t="shared" si="56"/>
        <v>0</v>
      </c>
      <c r="CT9" s="50">
        <f t="shared" si="19"/>
        <v>0</v>
      </c>
      <c r="CU9" s="50">
        <f t="shared" si="57"/>
        <v>0</v>
      </c>
      <c r="CV9" s="50">
        <f t="shared" si="20"/>
        <v>0</v>
      </c>
      <c r="CW9" s="50">
        <f t="shared" si="58"/>
        <v>0</v>
      </c>
    </row>
    <row r="10" spans="1:101" s="19" customFormat="1" hidden="1" x14ac:dyDescent="0.2">
      <c r="A10" s="43" t="str">
        <f>IF(AND(L!I10&lt;&gt;"Baja",L!I10&lt;&gt;""),L!A10,"")</f>
        <v/>
      </c>
      <c r="B10" s="19" t="str">
        <f>IF(AND(L!I10&lt;&gt;"Baja",L!I10&lt;&gt;""),L!B10,"")</f>
        <v/>
      </c>
      <c r="C10" s="16">
        <f>IF(AND(L!I10&lt;&gt;"Baja",L!I10&lt;&gt;""),L!H10,0)</f>
        <v>0</v>
      </c>
      <c r="D10" s="17">
        <f>IF(AND(L!I10&lt;&gt;"Baja",L!I10&lt;&gt;""),1+(L!Q10+L!R10)/DA,0)</f>
        <v>0</v>
      </c>
      <c r="E10" s="16">
        <f t="shared" si="21"/>
        <v>0</v>
      </c>
      <c r="F10" s="16">
        <f t="shared" si="0"/>
        <v>0</v>
      </c>
      <c r="H10" s="18">
        <f>IF(A10&lt;&gt;"",IF(L!I10="Finiquito",L!J10-$N$1+1,DN),0)</f>
        <v>0</v>
      </c>
      <c r="I10" s="18"/>
      <c r="J10" s="18"/>
      <c r="K10" s="20">
        <f t="shared" si="1"/>
        <v>0</v>
      </c>
      <c r="M10" s="48"/>
      <c r="N10" s="48"/>
      <c r="O10" s="48"/>
      <c r="P10" s="49"/>
      <c r="Q10" s="48" t="str">
        <f>IF(P10,L!Q10,"")</f>
        <v/>
      </c>
      <c r="R10" s="48">
        <v>0.05</v>
      </c>
      <c r="S10" s="48">
        <v>0.1</v>
      </c>
      <c r="T10" s="48">
        <v>0.1</v>
      </c>
      <c r="U10" s="48"/>
      <c r="V10" s="48"/>
      <c r="W10" s="48"/>
      <c r="Y10" s="48"/>
      <c r="Z10" s="19" t="s">
        <v>51</v>
      </c>
      <c r="AA10" s="48"/>
      <c r="AB10" s="48"/>
      <c r="AC10" s="48"/>
      <c r="AD10" s="48"/>
      <c r="AE10" s="48"/>
      <c r="AI10" s="50">
        <f t="shared" si="2"/>
        <v>0</v>
      </c>
      <c r="AJ10" s="50">
        <f t="shared" si="3"/>
        <v>0</v>
      </c>
      <c r="AK10" s="50">
        <f t="shared" si="4"/>
        <v>0</v>
      </c>
      <c r="AL10" s="50">
        <f t="shared" si="22"/>
        <v>0</v>
      </c>
      <c r="AM10" s="50">
        <f t="shared" si="23"/>
        <v>0</v>
      </c>
      <c r="AN10" s="50">
        <f t="shared" si="5"/>
        <v>0</v>
      </c>
      <c r="AO10" s="50">
        <f t="shared" si="6"/>
        <v>0</v>
      </c>
      <c r="AP10" s="50">
        <f t="shared" si="7"/>
        <v>0</v>
      </c>
      <c r="AQ10" s="50">
        <f t="shared" si="8"/>
        <v>0</v>
      </c>
      <c r="AR10" s="50">
        <f t="shared" si="59"/>
        <v>0</v>
      </c>
      <c r="AS10" s="50">
        <f t="shared" si="9"/>
        <v>0</v>
      </c>
      <c r="AT10" s="50">
        <f t="shared" si="10"/>
        <v>0</v>
      </c>
      <c r="AU10" s="50">
        <f t="shared" si="24"/>
        <v>0</v>
      </c>
      <c r="AV10" s="50">
        <f t="shared" si="11"/>
        <v>0</v>
      </c>
      <c r="AW10" s="50">
        <f t="shared" si="25"/>
        <v>0</v>
      </c>
      <c r="AX10" s="50">
        <f t="shared" si="26"/>
        <v>0</v>
      </c>
      <c r="AY10" s="50">
        <f t="shared" si="12"/>
        <v>0</v>
      </c>
      <c r="BC10" s="50">
        <f t="shared" si="27"/>
        <v>0</v>
      </c>
      <c r="BD10" s="50">
        <f t="shared" si="28"/>
        <v>0</v>
      </c>
      <c r="BE10" s="50">
        <f t="shared" si="29"/>
        <v>0</v>
      </c>
      <c r="BF10" s="50">
        <f t="shared" si="30"/>
        <v>0</v>
      </c>
      <c r="BG10" s="50">
        <f t="shared" si="31"/>
        <v>0</v>
      </c>
      <c r="BH10" s="50">
        <f>IF(P10,C10*L!P10,0)</f>
        <v>0</v>
      </c>
      <c r="BI10" s="50">
        <f t="shared" si="32"/>
        <v>0</v>
      </c>
      <c r="BJ10" s="50">
        <f t="shared" si="33"/>
        <v>0</v>
      </c>
      <c r="BK10" s="50">
        <f t="shared" si="34"/>
        <v>0</v>
      </c>
      <c r="BL10" s="50">
        <f t="shared" si="35"/>
        <v>0</v>
      </c>
      <c r="BM10" s="50">
        <f t="shared" si="36"/>
        <v>0</v>
      </c>
      <c r="BN10" s="50">
        <f t="shared" si="37"/>
        <v>0</v>
      </c>
      <c r="BO10" s="50">
        <f t="shared" si="38"/>
        <v>0</v>
      </c>
      <c r="BQ10" s="50">
        <f t="shared" si="39"/>
        <v>0</v>
      </c>
      <c r="BR10" s="50">
        <f t="shared" si="40"/>
        <v>0</v>
      </c>
      <c r="BS10" s="50">
        <f t="shared" si="41"/>
        <v>0</v>
      </c>
      <c r="BT10" s="50">
        <f t="shared" si="42"/>
        <v>0</v>
      </c>
      <c r="BU10" s="50">
        <f t="shared" si="43"/>
        <v>0</v>
      </c>
      <c r="BV10" s="50">
        <f t="shared" si="44"/>
        <v>0</v>
      </c>
      <c r="BW10" s="50">
        <f t="shared" si="45"/>
        <v>0</v>
      </c>
      <c r="BX10" s="50">
        <f t="shared" si="46"/>
        <v>0</v>
      </c>
      <c r="BY10" s="50">
        <f t="shared" si="47"/>
        <v>0</v>
      </c>
      <c r="CC10" s="50">
        <f t="shared" si="61"/>
        <v>0</v>
      </c>
      <c r="CD10" s="50">
        <f t="shared" si="13"/>
        <v>0</v>
      </c>
      <c r="CE10" s="50">
        <f t="shared" si="14"/>
        <v>0</v>
      </c>
      <c r="CF10" s="50">
        <f t="shared" si="15"/>
        <v>0</v>
      </c>
      <c r="CG10" s="50">
        <f t="shared" si="16"/>
        <v>0</v>
      </c>
      <c r="CH10" s="50">
        <f t="shared" si="17"/>
        <v>0</v>
      </c>
      <c r="CJ10" s="50">
        <f t="shared" si="18"/>
        <v>0</v>
      </c>
      <c r="CK10" s="50">
        <f t="shared" si="49"/>
        <v>0</v>
      </c>
      <c r="CL10" s="50">
        <f t="shared" si="50"/>
        <v>0</v>
      </c>
      <c r="CM10" s="50">
        <f t="shared" si="51"/>
        <v>0</v>
      </c>
      <c r="CN10" s="50">
        <f t="shared" si="52"/>
        <v>0</v>
      </c>
      <c r="CO10" s="50">
        <f t="shared" si="53"/>
        <v>0</v>
      </c>
      <c r="CQ10" s="50">
        <f t="shared" si="54"/>
        <v>0</v>
      </c>
      <c r="CR10" s="50">
        <f t="shared" si="55"/>
        <v>0</v>
      </c>
      <c r="CS10" s="50">
        <f t="shared" si="56"/>
        <v>0</v>
      </c>
      <c r="CT10" s="50">
        <f t="shared" si="19"/>
        <v>0</v>
      </c>
      <c r="CU10" s="50">
        <f t="shared" si="57"/>
        <v>0</v>
      </c>
      <c r="CV10" s="50">
        <f t="shared" si="20"/>
        <v>0</v>
      </c>
      <c r="CW10" s="50">
        <f t="shared" si="58"/>
        <v>0</v>
      </c>
    </row>
    <row r="11" spans="1:101" s="19" customFormat="1" x14ac:dyDescent="0.2">
      <c r="A11" s="43">
        <f>IF(AND(L!I11&lt;&gt;"Baja",L!I11&lt;&gt;""),L!A11,"")</f>
        <v>8</v>
      </c>
      <c r="B11" s="19" t="str">
        <f>IF(AND(L!I11&lt;&gt;"Baja",L!I11&lt;&gt;""),L!B11,"")</f>
        <v>CRUZ PASTRANA JOSE CARMEN</v>
      </c>
      <c r="C11" s="16">
        <f>IF(AND(L!I11&lt;&gt;"Baja",L!I11&lt;&gt;""),L!H11,0)</f>
        <v>189.19</v>
      </c>
      <c r="D11" s="17">
        <f>IF(AND(L!I11&lt;&gt;"Baja",L!I11&lt;&gt;""),1+(L!Q11+L!R11)/DA,0)</f>
        <v>1.0506849315068494</v>
      </c>
      <c r="E11" s="16">
        <f t="shared" si="21"/>
        <v>198.78</v>
      </c>
      <c r="F11" s="16">
        <f t="shared" si="0"/>
        <v>23.64875</v>
      </c>
      <c r="H11" s="18">
        <f>IF(A11&lt;&gt;"",IF(L!I11="Finiquito",L!J11-$N$1+1,DN),0)</f>
        <v>7</v>
      </c>
      <c r="I11" s="18"/>
      <c r="J11" s="18"/>
      <c r="K11" s="20">
        <f t="shared" si="1"/>
        <v>7</v>
      </c>
      <c r="M11" s="48"/>
      <c r="N11" s="48"/>
      <c r="O11" s="48"/>
      <c r="P11" s="49"/>
      <c r="Q11" s="48" t="str">
        <f>IF(P11,L!Q11,"")</f>
        <v/>
      </c>
      <c r="R11" s="48">
        <v>0.05</v>
      </c>
      <c r="S11" s="48">
        <v>0.1</v>
      </c>
      <c r="T11" s="48">
        <v>0.1</v>
      </c>
      <c r="U11" s="48"/>
      <c r="V11" s="48"/>
      <c r="W11" s="48"/>
      <c r="Y11" s="48"/>
      <c r="AA11" s="48"/>
      <c r="AB11" s="48"/>
      <c r="AC11" s="48"/>
      <c r="AD11" s="48"/>
      <c r="AE11" s="48"/>
      <c r="AI11" s="50">
        <f t="shared" si="2"/>
        <v>0</v>
      </c>
      <c r="AJ11" s="50">
        <f t="shared" si="3"/>
        <v>0</v>
      </c>
      <c r="AK11" s="50">
        <f t="shared" si="4"/>
        <v>0</v>
      </c>
      <c r="AL11" s="50">
        <f t="shared" si="22"/>
        <v>0</v>
      </c>
      <c r="AM11" s="50">
        <f t="shared" si="23"/>
        <v>0</v>
      </c>
      <c r="AN11" s="50">
        <f t="shared" si="5"/>
        <v>0</v>
      </c>
      <c r="AO11" s="50">
        <f t="shared" si="6"/>
        <v>0</v>
      </c>
      <c r="AP11" s="50">
        <f t="shared" si="7"/>
        <v>0</v>
      </c>
      <c r="AQ11" s="50">
        <f t="shared" si="8"/>
        <v>0</v>
      </c>
      <c r="AR11" s="50">
        <f t="shared" si="59"/>
        <v>66.216499999999996</v>
      </c>
      <c r="AS11" s="50">
        <f t="shared" si="9"/>
        <v>0</v>
      </c>
      <c r="AT11" s="50">
        <f t="shared" si="10"/>
        <v>0</v>
      </c>
      <c r="AU11" s="50">
        <f t="shared" si="24"/>
        <v>132.43299999999999</v>
      </c>
      <c r="AV11" s="50">
        <f t="shared" si="11"/>
        <v>0</v>
      </c>
      <c r="AW11" s="50">
        <f t="shared" si="25"/>
        <v>132.43299999999999</v>
      </c>
      <c r="AX11" s="50">
        <f t="shared" si="26"/>
        <v>0</v>
      </c>
      <c r="AY11" s="50">
        <f t="shared" si="12"/>
        <v>0</v>
      </c>
      <c r="BC11" s="50">
        <f t="shared" si="27"/>
        <v>1324.33</v>
      </c>
      <c r="BD11" s="50">
        <f t="shared" si="28"/>
        <v>0</v>
      </c>
      <c r="BE11" s="50">
        <f t="shared" si="29"/>
        <v>0</v>
      </c>
      <c r="BF11" s="50">
        <f t="shared" si="30"/>
        <v>0</v>
      </c>
      <c r="BG11" s="50">
        <f t="shared" si="31"/>
        <v>0</v>
      </c>
      <c r="BH11" s="50">
        <f>IF(P11,C11*L!P11,0)</f>
        <v>0</v>
      </c>
      <c r="BI11" s="50">
        <f t="shared" si="32"/>
        <v>0</v>
      </c>
      <c r="BJ11" s="50">
        <f t="shared" si="33"/>
        <v>0</v>
      </c>
      <c r="BK11" s="50">
        <f t="shared" si="34"/>
        <v>132.43299999999999</v>
      </c>
      <c r="BL11" s="50">
        <f t="shared" si="35"/>
        <v>132.43299999999999</v>
      </c>
      <c r="BM11" s="50">
        <f t="shared" si="36"/>
        <v>0</v>
      </c>
      <c r="BN11" s="50">
        <f t="shared" si="37"/>
        <v>0</v>
      </c>
      <c r="BO11" s="50">
        <f t="shared" si="38"/>
        <v>1589.1959999999999</v>
      </c>
      <c r="BQ11" s="50">
        <f t="shared" si="39"/>
        <v>0</v>
      </c>
      <c r="BR11" s="50">
        <f t="shared" si="40"/>
        <v>0</v>
      </c>
      <c r="BS11" s="50">
        <f t="shared" si="41"/>
        <v>0</v>
      </c>
      <c r="BT11" s="50">
        <f t="shared" si="42"/>
        <v>66.216499999999996</v>
      </c>
      <c r="BU11" s="50">
        <f t="shared" si="43"/>
        <v>0</v>
      </c>
      <c r="BV11" s="50">
        <f t="shared" si="44"/>
        <v>0</v>
      </c>
      <c r="BW11" s="50">
        <f t="shared" si="45"/>
        <v>0</v>
      </c>
      <c r="BX11" s="50">
        <f t="shared" si="46"/>
        <v>0</v>
      </c>
      <c r="BY11" s="50">
        <f t="shared" si="47"/>
        <v>66.216499999999996</v>
      </c>
      <c r="CC11" s="50">
        <f t="shared" si="61"/>
        <v>1589.1959999999999</v>
      </c>
      <c r="CD11" s="50">
        <f t="shared" si="13"/>
        <v>6901.6511999999993</v>
      </c>
      <c r="CE11" s="50">
        <f t="shared" si="14"/>
        <v>505.00206655999989</v>
      </c>
      <c r="CF11" s="50">
        <f t="shared" si="15"/>
        <v>253.54</v>
      </c>
      <c r="CG11" s="50">
        <f t="shared" si="16"/>
        <v>57.902449536842084</v>
      </c>
      <c r="CH11" s="50">
        <f t="shared" si="17"/>
        <v>-0.01</v>
      </c>
      <c r="CJ11" s="50">
        <f t="shared" si="18"/>
        <v>0</v>
      </c>
      <c r="CK11" s="50">
        <f t="shared" si="49"/>
        <v>5.217975</v>
      </c>
      <c r="CL11" s="50">
        <f t="shared" si="50"/>
        <v>3.47865</v>
      </c>
      <c r="CM11" s="50">
        <f t="shared" si="51"/>
        <v>8.6966250000000009</v>
      </c>
      <c r="CN11" s="50">
        <f t="shared" si="52"/>
        <v>15.653924999999999</v>
      </c>
      <c r="CO11" s="50">
        <f t="shared" si="53"/>
        <v>33.047175000000003</v>
      </c>
      <c r="CQ11" s="50">
        <f t="shared" si="54"/>
        <v>0</v>
      </c>
      <c r="CR11" s="50">
        <f t="shared" si="55"/>
        <v>0</v>
      </c>
      <c r="CS11" s="50">
        <f t="shared" si="56"/>
        <v>0</v>
      </c>
      <c r="CT11" s="50">
        <f t="shared" si="19"/>
        <v>0</v>
      </c>
      <c r="CU11" s="50">
        <f t="shared" si="57"/>
        <v>0</v>
      </c>
      <c r="CV11" s="50">
        <f t="shared" si="20"/>
        <v>0</v>
      </c>
      <c r="CW11" s="50">
        <f t="shared" si="58"/>
        <v>0</v>
      </c>
    </row>
    <row r="12" spans="1:101" s="19" customFormat="1" hidden="1" x14ac:dyDescent="0.2">
      <c r="A12" s="43" t="str">
        <f>IF(AND(L!I12&lt;&gt;"Baja",L!I12&lt;&gt;""),L!A12,"")</f>
        <v/>
      </c>
      <c r="B12" s="19" t="str">
        <f>IF(AND(L!I12&lt;&gt;"Baja",L!I12&lt;&gt;""),L!B12,"")</f>
        <v/>
      </c>
      <c r="C12" s="16">
        <f>IF(AND(L!I12&lt;&gt;"Baja",L!I12&lt;&gt;""),L!H12,0)</f>
        <v>0</v>
      </c>
      <c r="D12" s="17">
        <f>IF(AND(L!I12&lt;&gt;"Baja",L!I12&lt;&gt;""),1+(L!Q12+L!R12)/DA,0)</f>
        <v>0</v>
      </c>
      <c r="E12" s="16">
        <f t="shared" si="21"/>
        <v>0</v>
      </c>
      <c r="F12" s="16">
        <f t="shared" si="0"/>
        <v>0</v>
      </c>
      <c r="H12" s="18">
        <f>IF(A12&lt;&gt;"",IF(L!I12="Finiquito",L!J12-$N$1+1,DN),0)</f>
        <v>0</v>
      </c>
      <c r="I12" s="18"/>
      <c r="J12" s="18"/>
      <c r="K12" s="20">
        <f t="shared" si="1"/>
        <v>0</v>
      </c>
      <c r="M12" s="48"/>
      <c r="N12" s="48"/>
      <c r="O12" s="48"/>
      <c r="P12" s="49"/>
      <c r="Q12" s="48" t="str">
        <f>IF(P12,L!Q12,"")</f>
        <v/>
      </c>
      <c r="R12" s="48">
        <v>0.05</v>
      </c>
      <c r="S12" s="48">
        <v>0.1</v>
      </c>
      <c r="T12" s="48">
        <v>0.1</v>
      </c>
      <c r="U12" s="48"/>
      <c r="V12" s="48"/>
      <c r="W12" s="48"/>
      <c r="Y12" s="48"/>
      <c r="Z12" s="19" t="s">
        <v>51</v>
      </c>
      <c r="AA12" s="48"/>
      <c r="AB12" s="48"/>
      <c r="AC12" s="48"/>
      <c r="AD12" s="48"/>
      <c r="AE12" s="48"/>
      <c r="AI12" s="50">
        <f t="shared" si="2"/>
        <v>0</v>
      </c>
      <c r="AJ12" s="50">
        <f t="shared" si="3"/>
        <v>0</v>
      </c>
      <c r="AK12" s="50">
        <f t="shared" si="4"/>
        <v>0</v>
      </c>
      <c r="AL12" s="50">
        <f t="shared" si="22"/>
        <v>0</v>
      </c>
      <c r="AM12" s="50">
        <f t="shared" si="23"/>
        <v>0</v>
      </c>
      <c r="AN12" s="50">
        <f t="shared" si="5"/>
        <v>0</v>
      </c>
      <c r="AO12" s="50">
        <f t="shared" si="6"/>
        <v>0</v>
      </c>
      <c r="AP12" s="50">
        <f t="shared" si="7"/>
        <v>0</v>
      </c>
      <c r="AQ12" s="50">
        <f t="shared" si="8"/>
        <v>0</v>
      </c>
      <c r="AR12" s="50">
        <f t="shared" si="59"/>
        <v>0</v>
      </c>
      <c r="AS12" s="50">
        <f t="shared" si="9"/>
        <v>0</v>
      </c>
      <c r="AT12" s="50">
        <f t="shared" si="10"/>
        <v>0</v>
      </c>
      <c r="AU12" s="50">
        <f t="shared" si="24"/>
        <v>0</v>
      </c>
      <c r="AV12" s="50">
        <f t="shared" si="11"/>
        <v>0</v>
      </c>
      <c r="AW12" s="50">
        <f t="shared" si="25"/>
        <v>0</v>
      </c>
      <c r="AX12" s="50">
        <f t="shared" si="26"/>
        <v>0</v>
      </c>
      <c r="AY12" s="50">
        <f t="shared" si="12"/>
        <v>0</v>
      </c>
      <c r="BC12" s="50">
        <f t="shared" si="27"/>
        <v>0</v>
      </c>
      <c r="BD12" s="50">
        <f t="shared" si="28"/>
        <v>0</v>
      </c>
      <c r="BE12" s="50">
        <f t="shared" si="29"/>
        <v>0</v>
      </c>
      <c r="BF12" s="50">
        <f t="shared" si="30"/>
        <v>0</v>
      </c>
      <c r="BG12" s="50">
        <f t="shared" si="31"/>
        <v>0</v>
      </c>
      <c r="BH12" s="50">
        <f>IF(P12,C12*L!P12,0)</f>
        <v>0</v>
      </c>
      <c r="BI12" s="50">
        <f t="shared" si="32"/>
        <v>0</v>
      </c>
      <c r="BJ12" s="50">
        <f t="shared" si="33"/>
        <v>0</v>
      </c>
      <c r="BK12" s="50">
        <f t="shared" si="34"/>
        <v>0</v>
      </c>
      <c r="BL12" s="50">
        <f t="shared" si="35"/>
        <v>0</v>
      </c>
      <c r="BM12" s="50">
        <f t="shared" si="36"/>
        <v>0</v>
      </c>
      <c r="BN12" s="50">
        <f t="shared" si="37"/>
        <v>0</v>
      </c>
      <c r="BO12" s="50">
        <f t="shared" si="38"/>
        <v>0</v>
      </c>
      <c r="BQ12" s="50">
        <f t="shared" si="39"/>
        <v>0</v>
      </c>
      <c r="BR12" s="50">
        <f t="shared" si="40"/>
        <v>0</v>
      </c>
      <c r="BS12" s="50">
        <f t="shared" si="41"/>
        <v>0</v>
      </c>
      <c r="BT12" s="50">
        <f t="shared" si="42"/>
        <v>0</v>
      </c>
      <c r="BU12" s="50">
        <f t="shared" si="43"/>
        <v>0</v>
      </c>
      <c r="BV12" s="50">
        <f t="shared" si="44"/>
        <v>0</v>
      </c>
      <c r="BW12" s="50">
        <f t="shared" si="45"/>
        <v>0</v>
      </c>
      <c r="BX12" s="50">
        <f t="shared" si="46"/>
        <v>0</v>
      </c>
      <c r="BY12" s="50">
        <f t="shared" si="47"/>
        <v>0</v>
      </c>
      <c r="CC12" s="50">
        <f t="shared" si="61"/>
        <v>0</v>
      </c>
      <c r="CD12" s="50">
        <f t="shared" si="13"/>
        <v>0</v>
      </c>
      <c r="CE12" s="50">
        <f t="shared" si="14"/>
        <v>0</v>
      </c>
      <c r="CF12" s="50">
        <f t="shared" si="15"/>
        <v>0</v>
      </c>
      <c r="CG12" s="50">
        <f t="shared" si="16"/>
        <v>0</v>
      </c>
      <c r="CH12" s="50">
        <f t="shared" si="17"/>
        <v>0</v>
      </c>
      <c r="CJ12" s="50">
        <f t="shared" si="18"/>
        <v>0</v>
      </c>
      <c r="CK12" s="50">
        <f t="shared" si="49"/>
        <v>0</v>
      </c>
      <c r="CL12" s="50">
        <f t="shared" si="50"/>
        <v>0</v>
      </c>
      <c r="CM12" s="50">
        <f t="shared" si="51"/>
        <v>0</v>
      </c>
      <c r="CN12" s="50">
        <f t="shared" si="52"/>
        <v>0</v>
      </c>
      <c r="CO12" s="50">
        <f t="shared" si="53"/>
        <v>0</v>
      </c>
      <c r="CQ12" s="50">
        <f t="shared" si="54"/>
        <v>0</v>
      </c>
      <c r="CR12" s="50">
        <f t="shared" si="55"/>
        <v>0</v>
      </c>
      <c r="CS12" s="50">
        <f t="shared" si="56"/>
        <v>0</v>
      </c>
      <c r="CT12" s="50">
        <f t="shared" si="19"/>
        <v>0</v>
      </c>
      <c r="CU12" s="50">
        <f t="shared" si="57"/>
        <v>0</v>
      </c>
      <c r="CV12" s="50">
        <f t="shared" si="20"/>
        <v>0</v>
      </c>
      <c r="CW12" s="50">
        <f t="shared" si="58"/>
        <v>0</v>
      </c>
    </row>
    <row r="13" spans="1:101" s="19" customFormat="1" hidden="1" x14ac:dyDescent="0.2">
      <c r="A13" s="43" t="str">
        <f>IF(AND(L!I13&lt;&gt;"Baja",L!I13&lt;&gt;""),L!A13,"")</f>
        <v/>
      </c>
      <c r="B13" s="19" t="str">
        <f>IF(AND(L!I13&lt;&gt;"Baja",L!I13&lt;&gt;""),L!B13,"")</f>
        <v/>
      </c>
      <c r="C13" s="16">
        <f>IF(AND(L!I13&lt;&gt;"Baja",L!I13&lt;&gt;""),L!H13,0)</f>
        <v>0</v>
      </c>
      <c r="D13" s="17">
        <f>IF(AND(L!I13&lt;&gt;"Baja",L!I13&lt;&gt;""),1+(L!Q13+L!R13)/DA,0)</f>
        <v>0</v>
      </c>
      <c r="E13" s="16">
        <f t="shared" si="21"/>
        <v>0</v>
      </c>
      <c r="F13" s="16">
        <f t="shared" si="0"/>
        <v>0</v>
      </c>
      <c r="H13" s="18">
        <f>IF(A13&lt;&gt;"",IF(L!I13="Finiquito",L!J13-$N$1+1,DN),0)</f>
        <v>0</v>
      </c>
      <c r="I13" s="18"/>
      <c r="J13" s="18"/>
      <c r="K13" s="20">
        <f t="shared" si="1"/>
        <v>0</v>
      </c>
      <c r="M13" s="48"/>
      <c r="N13" s="48"/>
      <c r="O13" s="48"/>
      <c r="P13" s="49"/>
      <c r="Q13" s="48" t="str">
        <f>IF(P13,L!Q13,"")</f>
        <v/>
      </c>
      <c r="R13" s="48">
        <v>0.05</v>
      </c>
      <c r="S13" s="48">
        <v>0.1</v>
      </c>
      <c r="T13" s="48">
        <v>0.1</v>
      </c>
      <c r="U13" s="48"/>
      <c r="V13" s="48"/>
      <c r="W13" s="48"/>
      <c r="Y13" s="48"/>
      <c r="Z13" s="19" t="s">
        <v>51</v>
      </c>
      <c r="AA13" s="48"/>
      <c r="AB13" s="48"/>
      <c r="AC13" s="48"/>
      <c r="AD13" s="48"/>
      <c r="AE13" s="48"/>
      <c r="AI13" s="50">
        <f t="shared" si="2"/>
        <v>0</v>
      </c>
      <c r="AJ13" s="50">
        <f t="shared" si="3"/>
        <v>0</v>
      </c>
      <c r="AK13" s="50">
        <f t="shared" si="4"/>
        <v>0</v>
      </c>
      <c r="AL13" s="50">
        <f t="shared" si="22"/>
        <v>0</v>
      </c>
      <c r="AM13" s="50">
        <f t="shared" si="23"/>
        <v>0</v>
      </c>
      <c r="AN13" s="50">
        <f t="shared" si="5"/>
        <v>0</v>
      </c>
      <c r="AO13" s="50">
        <f t="shared" si="6"/>
        <v>0</v>
      </c>
      <c r="AP13" s="50">
        <f t="shared" si="7"/>
        <v>0</v>
      </c>
      <c r="AQ13" s="50">
        <f t="shared" si="8"/>
        <v>0</v>
      </c>
      <c r="AR13" s="50">
        <f t="shared" si="59"/>
        <v>0</v>
      </c>
      <c r="AS13" s="50">
        <f t="shared" si="9"/>
        <v>0</v>
      </c>
      <c r="AT13" s="50">
        <f t="shared" si="10"/>
        <v>0</v>
      </c>
      <c r="AU13" s="50">
        <f t="shared" si="24"/>
        <v>0</v>
      </c>
      <c r="AV13" s="50">
        <f t="shared" si="11"/>
        <v>0</v>
      </c>
      <c r="AW13" s="50">
        <f t="shared" si="25"/>
        <v>0</v>
      </c>
      <c r="AX13" s="50">
        <f t="shared" si="26"/>
        <v>0</v>
      </c>
      <c r="AY13" s="50">
        <f t="shared" si="12"/>
        <v>0</v>
      </c>
      <c r="BC13" s="50">
        <f t="shared" si="27"/>
        <v>0</v>
      </c>
      <c r="BD13" s="50">
        <f t="shared" si="28"/>
        <v>0</v>
      </c>
      <c r="BE13" s="50">
        <f t="shared" si="29"/>
        <v>0</v>
      </c>
      <c r="BF13" s="50">
        <f t="shared" si="30"/>
        <v>0</v>
      </c>
      <c r="BG13" s="50">
        <f t="shared" si="31"/>
        <v>0</v>
      </c>
      <c r="BH13" s="50">
        <f>IF(P13,C13*L!P13,0)</f>
        <v>0</v>
      </c>
      <c r="BI13" s="50">
        <f t="shared" si="32"/>
        <v>0</v>
      </c>
      <c r="BJ13" s="50">
        <f t="shared" si="33"/>
        <v>0</v>
      </c>
      <c r="BK13" s="50">
        <f t="shared" si="34"/>
        <v>0</v>
      </c>
      <c r="BL13" s="50">
        <f t="shared" si="35"/>
        <v>0</v>
      </c>
      <c r="BM13" s="50">
        <f t="shared" si="36"/>
        <v>0</v>
      </c>
      <c r="BN13" s="50">
        <f t="shared" si="37"/>
        <v>0</v>
      </c>
      <c r="BO13" s="50">
        <f t="shared" si="38"/>
        <v>0</v>
      </c>
      <c r="BQ13" s="50">
        <f t="shared" si="39"/>
        <v>0</v>
      </c>
      <c r="BR13" s="50">
        <f t="shared" si="40"/>
        <v>0</v>
      </c>
      <c r="BS13" s="50">
        <f t="shared" si="41"/>
        <v>0</v>
      </c>
      <c r="BT13" s="50">
        <f t="shared" si="42"/>
        <v>0</v>
      </c>
      <c r="BU13" s="50">
        <f t="shared" si="43"/>
        <v>0</v>
      </c>
      <c r="BV13" s="50">
        <f t="shared" si="44"/>
        <v>0</v>
      </c>
      <c r="BW13" s="50">
        <f t="shared" si="45"/>
        <v>0</v>
      </c>
      <c r="BX13" s="50">
        <f t="shared" si="46"/>
        <v>0</v>
      </c>
      <c r="BY13" s="50">
        <f t="shared" si="47"/>
        <v>0</v>
      </c>
      <c r="CC13" s="50">
        <f t="shared" si="61"/>
        <v>0</v>
      </c>
      <c r="CD13" s="50">
        <f t="shared" si="13"/>
        <v>0</v>
      </c>
      <c r="CE13" s="50">
        <f t="shared" si="14"/>
        <v>0</v>
      </c>
      <c r="CF13" s="50">
        <f t="shared" si="15"/>
        <v>0</v>
      </c>
      <c r="CG13" s="50">
        <f t="shared" si="16"/>
        <v>0</v>
      </c>
      <c r="CH13" s="50">
        <f t="shared" si="17"/>
        <v>0</v>
      </c>
      <c r="CJ13" s="50">
        <f t="shared" si="18"/>
        <v>0</v>
      </c>
      <c r="CK13" s="50">
        <f t="shared" si="49"/>
        <v>0</v>
      </c>
      <c r="CL13" s="50">
        <f t="shared" si="50"/>
        <v>0</v>
      </c>
      <c r="CM13" s="50">
        <f t="shared" si="51"/>
        <v>0</v>
      </c>
      <c r="CN13" s="50">
        <f t="shared" si="52"/>
        <v>0</v>
      </c>
      <c r="CO13" s="50">
        <f t="shared" si="53"/>
        <v>0</v>
      </c>
      <c r="CQ13" s="50">
        <f t="shared" si="54"/>
        <v>0</v>
      </c>
      <c r="CR13" s="50">
        <f t="shared" si="55"/>
        <v>0</v>
      </c>
      <c r="CS13" s="50">
        <f t="shared" si="56"/>
        <v>0</v>
      </c>
      <c r="CT13" s="50">
        <f t="shared" si="19"/>
        <v>0</v>
      </c>
      <c r="CU13" s="50">
        <f t="shared" si="57"/>
        <v>0</v>
      </c>
      <c r="CV13" s="50">
        <f t="shared" si="20"/>
        <v>0</v>
      </c>
      <c r="CW13" s="50">
        <f t="shared" si="58"/>
        <v>0</v>
      </c>
    </row>
    <row r="14" spans="1:101" s="19" customFormat="1" hidden="1" x14ac:dyDescent="0.2">
      <c r="A14" s="43" t="str">
        <f>IF(AND(L!I14&lt;&gt;"Baja",L!I14&lt;&gt;""),L!A14,"")</f>
        <v/>
      </c>
      <c r="B14" s="19" t="str">
        <f>IF(AND(L!I14&lt;&gt;"Baja",L!I14&lt;&gt;""),L!B14,"")</f>
        <v/>
      </c>
      <c r="C14" s="16">
        <f>IF(AND(L!I14&lt;&gt;"Baja",L!I14&lt;&gt;""),L!H14,0)</f>
        <v>0</v>
      </c>
      <c r="D14" s="17">
        <f>IF(AND(L!I14&lt;&gt;"Baja",L!I14&lt;&gt;""),1+(L!Q14+L!R14)/DA,0)</f>
        <v>0</v>
      </c>
      <c r="E14" s="16">
        <f t="shared" si="21"/>
        <v>0</v>
      </c>
      <c r="F14" s="16">
        <f t="shared" si="0"/>
        <v>0</v>
      </c>
      <c r="H14" s="18">
        <f>IF(A14&lt;&gt;"",IF(L!I14="Finiquito",L!J14-$N$1+1,DN),0)</f>
        <v>0</v>
      </c>
      <c r="I14" s="18"/>
      <c r="J14" s="18"/>
      <c r="K14" s="20">
        <f t="shared" si="1"/>
        <v>0</v>
      </c>
      <c r="M14" s="48"/>
      <c r="N14" s="48"/>
      <c r="O14" s="48"/>
      <c r="P14" s="49"/>
      <c r="Q14" s="48" t="str">
        <f>IF(P14,L!Q14,"")</f>
        <v/>
      </c>
      <c r="R14" s="48">
        <v>0.05</v>
      </c>
      <c r="S14" s="48">
        <v>0.1</v>
      </c>
      <c r="T14" s="48">
        <v>0.1</v>
      </c>
      <c r="U14" s="48"/>
      <c r="V14" s="48"/>
      <c r="W14" s="48"/>
      <c r="Y14" s="48"/>
      <c r="Z14" s="19" t="s">
        <v>51</v>
      </c>
      <c r="AA14" s="48"/>
      <c r="AB14" s="48"/>
      <c r="AC14" s="48"/>
      <c r="AD14" s="48"/>
      <c r="AE14" s="48"/>
      <c r="AI14" s="50">
        <f t="shared" si="2"/>
        <v>0</v>
      </c>
      <c r="AJ14" s="50">
        <f t="shared" si="3"/>
        <v>0</v>
      </c>
      <c r="AK14" s="50">
        <f t="shared" si="4"/>
        <v>0</v>
      </c>
      <c r="AL14" s="50">
        <f t="shared" si="22"/>
        <v>0</v>
      </c>
      <c r="AM14" s="50">
        <f t="shared" si="23"/>
        <v>0</v>
      </c>
      <c r="AN14" s="50">
        <f t="shared" si="5"/>
        <v>0</v>
      </c>
      <c r="AO14" s="50">
        <f t="shared" si="6"/>
        <v>0</v>
      </c>
      <c r="AP14" s="50">
        <f t="shared" si="7"/>
        <v>0</v>
      </c>
      <c r="AQ14" s="50">
        <f t="shared" si="8"/>
        <v>0</v>
      </c>
      <c r="AR14" s="50">
        <f t="shared" si="59"/>
        <v>0</v>
      </c>
      <c r="AS14" s="50">
        <f t="shared" si="9"/>
        <v>0</v>
      </c>
      <c r="AT14" s="50">
        <f t="shared" si="10"/>
        <v>0</v>
      </c>
      <c r="AU14" s="50">
        <f t="shared" si="24"/>
        <v>0</v>
      </c>
      <c r="AV14" s="50">
        <f t="shared" si="11"/>
        <v>0</v>
      </c>
      <c r="AW14" s="50">
        <f t="shared" si="25"/>
        <v>0</v>
      </c>
      <c r="AX14" s="50">
        <f t="shared" si="26"/>
        <v>0</v>
      </c>
      <c r="AY14" s="50">
        <f t="shared" si="12"/>
        <v>0</v>
      </c>
      <c r="BC14" s="50">
        <f t="shared" si="27"/>
        <v>0</v>
      </c>
      <c r="BD14" s="50">
        <f t="shared" si="28"/>
        <v>0</v>
      </c>
      <c r="BE14" s="50">
        <f t="shared" si="29"/>
        <v>0</v>
      </c>
      <c r="BF14" s="50">
        <f t="shared" si="30"/>
        <v>0</v>
      </c>
      <c r="BG14" s="50">
        <f t="shared" si="31"/>
        <v>0</v>
      </c>
      <c r="BH14" s="50">
        <f>IF(P14,C14*L!P14,0)</f>
        <v>0</v>
      </c>
      <c r="BI14" s="50">
        <f t="shared" si="32"/>
        <v>0</v>
      </c>
      <c r="BJ14" s="50">
        <f t="shared" si="33"/>
        <v>0</v>
      </c>
      <c r="BK14" s="50">
        <f t="shared" si="34"/>
        <v>0</v>
      </c>
      <c r="BL14" s="50">
        <f t="shared" si="35"/>
        <v>0</v>
      </c>
      <c r="BM14" s="50">
        <f t="shared" si="36"/>
        <v>0</v>
      </c>
      <c r="BN14" s="50">
        <f t="shared" si="37"/>
        <v>0</v>
      </c>
      <c r="BO14" s="50">
        <f t="shared" si="38"/>
        <v>0</v>
      </c>
      <c r="BQ14" s="50">
        <f t="shared" si="39"/>
        <v>0</v>
      </c>
      <c r="BR14" s="50">
        <f t="shared" si="40"/>
        <v>0</v>
      </c>
      <c r="BS14" s="50">
        <f t="shared" si="41"/>
        <v>0</v>
      </c>
      <c r="BT14" s="50">
        <f t="shared" si="42"/>
        <v>0</v>
      </c>
      <c r="BU14" s="50">
        <f t="shared" si="43"/>
        <v>0</v>
      </c>
      <c r="BV14" s="50">
        <f t="shared" si="44"/>
        <v>0</v>
      </c>
      <c r="BW14" s="50">
        <f t="shared" si="45"/>
        <v>0</v>
      </c>
      <c r="BX14" s="50">
        <f t="shared" si="46"/>
        <v>0</v>
      </c>
      <c r="BY14" s="50">
        <f t="shared" si="47"/>
        <v>0</v>
      </c>
      <c r="CC14" s="50">
        <f t="shared" si="61"/>
        <v>0</v>
      </c>
      <c r="CD14" s="50">
        <f t="shared" si="13"/>
        <v>0</v>
      </c>
      <c r="CE14" s="50">
        <f t="shared" si="14"/>
        <v>0</v>
      </c>
      <c r="CF14" s="50">
        <f t="shared" si="15"/>
        <v>0</v>
      </c>
      <c r="CG14" s="50">
        <f t="shared" si="16"/>
        <v>0</v>
      </c>
      <c r="CH14" s="50">
        <f t="shared" si="17"/>
        <v>0</v>
      </c>
      <c r="CJ14" s="50">
        <f t="shared" si="18"/>
        <v>0</v>
      </c>
      <c r="CK14" s="50">
        <f t="shared" si="49"/>
        <v>0</v>
      </c>
      <c r="CL14" s="50">
        <f t="shared" si="50"/>
        <v>0</v>
      </c>
      <c r="CM14" s="50">
        <f t="shared" si="51"/>
        <v>0</v>
      </c>
      <c r="CN14" s="50">
        <f t="shared" si="52"/>
        <v>0</v>
      </c>
      <c r="CO14" s="50">
        <f t="shared" si="53"/>
        <v>0</v>
      </c>
      <c r="CQ14" s="50">
        <f t="shared" si="54"/>
        <v>0</v>
      </c>
      <c r="CR14" s="50">
        <f t="shared" si="55"/>
        <v>0</v>
      </c>
      <c r="CS14" s="50">
        <f t="shared" si="56"/>
        <v>0</v>
      </c>
      <c r="CT14" s="50">
        <f t="shared" si="19"/>
        <v>0</v>
      </c>
      <c r="CU14" s="50">
        <f t="shared" si="57"/>
        <v>0</v>
      </c>
      <c r="CV14" s="50">
        <f t="shared" si="20"/>
        <v>0</v>
      </c>
      <c r="CW14" s="50">
        <f t="shared" si="58"/>
        <v>0</v>
      </c>
    </row>
    <row r="15" spans="1:101" s="19" customFormat="1" x14ac:dyDescent="0.2">
      <c r="A15" s="43">
        <f>IF(AND(L!I15&lt;&gt;"Baja",L!I15&lt;&gt;""),L!A15,"")</f>
        <v>12</v>
      </c>
      <c r="B15" s="19" t="str">
        <f>IF(AND(L!I15&lt;&gt;"Baja",L!I15&lt;&gt;""),L!B15,"")</f>
        <v>VEGA CARREON JOSE LUIS</v>
      </c>
      <c r="C15" s="16">
        <f>IF(AND(L!I15&lt;&gt;"Baja",L!I15&lt;&gt;""),L!H15,0)</f>
        <v>311.74</v>
      </c>
      <c r="D15" s="17">
        <f>IF(AND(L!I15&lt;&gt;"Baja",L!I15&lt;&gt;""),1+(L!Q15+L!R15)/DA,0)</f>
        <v>1.0506849315068494</v>
      </c>
      <c r="E15" s="16">
        <f t="shared" si="21"/>
        <v>327.54000000000002</v>
      </c>
      <c r="F15" s="16">
        <f t="shared" si="0"/>
        <v>38.967500000000001</v>
      </c>
      <c r="H15" s="18">
        <f>IF(A15&lt;&gt;"",IF(L!I15="Finiquito",L!J15-$N$1+1,DN),0)</f>
        <v>7</v>
      </c>
      <c r="I15" s="18"/>
      <c r="J15" s="18"/>
      <c r="K15" s="20">
        <f t="shared" si="1"/>
        <v>7</v>
      </c>
      <c r="M15" s="48"/>
      <c r="N15" s="48"/>
      <c r="O15" s="48"/>
      <c r="P15" s="49"/>
      <c r="Q15" s="48" t="str">
        <f>IF(P15,L!Q15,"")</f>
        <v/>
      </c>
      <c r="R15" s="48">
        <v>0.05</v>
      </c>
      <c r="S15" s="48">
        <v>0.1</v>
      </c>
      <c r="T15" s="48">
        <v>0.1</v>
      </c>
      <c r="U15" s="48"/>
      <c r="V15" s="48"/>
      <c r="W15" s="48"/>
      <c r="Y15" s="48"/>
      <c r="AA15" s="48"/>
      <c r="AB15" s="48"/>
      <c r="AC15" s="48"/>
      <c r="AD15" s="48"/>
      <c r="AE15" s="48"/>
      <c r="AI15" s="50">
        <f t="shared" si="2"/>
        <v>0</v>
      </c>
      <c r="AJ15" s="50">
        <f t="shared" si="3"/>
        <v>0</v>
      </c>
      <c r="AK15" s="50">
        <f t="shared" si="4"/>
        <v>0</v>
      </c>
      <c r="AL15" s="50">
        <f t="shared" si="22"/>
        <v>0</v>
      </c>
      <c r="AM15" s="50">
        <f t="shared" si="23"/>
        <v>0</v>
      </c>
      <c r="AN15" s="50">
        <f t="shared" si="5"/>
        <v>0</v>
      </c>
      <c r="AO15" s="50">
        <f t="shared" si="6"/>
        <v>0</v>
      </c>
      <c r="AP15" s="50">
        <f t="shared" si="7"/>
        <v>0</v>
      </c>
      <c r="AQ15" s="50">
        <f t="shared" si="8"/>
        <v>0</v>
      </c>
      <c r="AR15" s="50">
        <f t="shared" si="59"/>
        <v>109.10900000000001</v>
      </c>
      <c r="AS15" s="50">
        <f t="shared" si="9"/>
        <v>0</v>
      </c>
      <c r="AT15" s="50">
        <f t="shared" si="10"/>
        <v>0</v>
      </c>
      <c r="AU15" s="50">
        <f t="shared" si="24"/>
        <v>218.21800000000002</v>
      </c>
      <c r="AV15" s="50">
        <f t="shared" si="11"/>
        <v>0</v>
      </c>
      <c r="AW15" s="50">
        <f t="shared" si="25"/>
        <v>218.21800000000002</v>
      </c>
      <c r="AX15" s="50">
        <f t="shared" si="26"/>
        <v>0</v>
      </c>
      <c r="AY15" s="50">
        <f t="shared" si="12"/>
        <v>0</v>
      </c>
      <c r="BC15" s="50">
        <f t="shared" si="27"/>
        <v>2182.1800000000003</v>
      </c>
      <c r="BD15" s="50">
        <f t="shared" si="28"/>
        <v>0</v>
      </c>
      <c r="BE15" s="50">
        <f t="shared" si="29"/>
        <v>0</v>
      </c>
      <c r="BF15" s="50">
        <f t="shared" si="30"/>
        <v>0</v>
      </c>
      <c r="BG15" s="50">
        <f t="shared" si="31"/>
        <v>0</v>
      </c>
      <c r="BH15" s="50">
        <f>IF(P15,C15*L!P15,0)</f>
        <v>0</v>
      </c>
      <c r="BI15" s="50">
        <f t="shared" si="32"/>
        <v>0</v>
      </c>
      <c r="BJ15" s="50">
        <f t="shared" si="33"/>
        <v>0</v>
      </c>
      <c r="BK15" s="50">
        <f t="shared" si="34"/>
        <v>218.21800000000002</v>
      </c>
      <c r="BL15" s="50">
        <f t="shared" si="35"/>
        <v>218.21800000000002</v>
      </c>
      <c r="BM15" s="50">
        <f t="shared" si="36"/>
        <v>0</v>
      </c>
      <c r="BN15" s="50">
        <f t="shared" si="37"/>
        <v>0</v>
      </c>
      <c r="BO15" s="50">
        <f t="shared" si="38"/>
        <v>2618.616</v>
      </c>
      <c r="BQ15" s="50">
        <f t="shared" si="39"/>
        <v>0</v>
      </c>
      <c r="BR15" s="50">
        <f t="shared" si="40"/>
        <v>0</v>
      </c>
      <c r="BS15" s="50">
        <f t="shared" si="41"/>
        <v>0</v>
      </c>
      <c r="BT15" s="50">
        <f t="shared" si="42"/>
        <v>109.10900000000001</v>
      </c>
      <c r="BU15" s="50">
        <f t="shared" si="43"/>
        <v>0</v>
      </c>
      <c r="BV15" s="50">
        <f t="shared" si="44"/>
        <v>0</v>
      </c>
      <c r="BW15" s="50">
        <f t="shared" si="45"/>
        <v>0</v>
      </c>
      <c r="BX15" s="50">
        <f t="shared" si="46"/>
        <v>0</v>
      </c>
      <c r="BY15" s="50">
        <f t="shared" si="47"/>
        <v>109.10900000000001</v>
      </c>
      <c r="CC15" s="50">
        <f t="shared" si="61"/>
        <v>2618.616</v>
      </c>
      <c r="CD15" s="50">
        <f t="shared" si="13"/>
        <v>11372.275199999998</v>
      </c>
      <c r="CE15" s="50">
        <f t="shared" si="14"/>
        <v>1157.6039718399998</v>
      </c>
      <c r="CF15" s="50">
        <f t="shared" si="15"/>
        <v>0</v>
      </c>
      <c r="CG15" s="50">
        <f t="shared" si="16"/>
        <v>266.55354614736837</v>
      </c>
      <c r="CH15" s="50">
        <f t="shared" si="17"/>
        <v>0</v>
      </c>
      <c r="CJ15" s="50">
        <f t="shared" si="18"/>
        <v>2.0739600000000014</v>
      </c>
      <c r="CK15" s="50">
        <f t="shared" si="49"/>
        <v>8.597925</v>
      </c>
      <c r="CL15" s="50">
        <f t="shared" si="50"/>
        <v>5.7319500000000003</v>
      </c>
      <c r="CM15" s="50">
        <f t="shared" si="51"/>
        <v>14.329875000000001</v>
      </c>
      <c r="CN15" s="50">
        <f t="shared" si="52"/>
        <v>25.793775</v>
      </c>
      <c r="CO15" s="50">
        <f t="shared" si="53"/>
        <v>56.527484999999999</v>
      </c>
      <c r="CQ15" s="50">
        <f t="shared" si="54"/>
        <v>0</v>
      </c>
      <c r="CR15" s="50">
        <f t="shared" si="55"/>
        <v>0</v>
      </c>
      <c r="CS15" s="50">
        <f t="shared" si="56"/>
        <v>0</v>
      </c>
      <c r="CT15" s="50">
        <f t="shared" si="19"/>
        <v>0</v>
      </c>
      <c r="CU15" s="50">
        <f t="shared" si="57"/>
        <v>0</v>
      </c>
      <c r="CV15" s="50">
        <f t="shared" si="20"/>
        <v>0</v>
      </c>
      <c r="CW15" s="50">
        <f t="shared" si="58"/>
        <v>0</v>
      </c>
    </row>
    <row r="16" spans="1:101" s="19" customFormat="1" hidden="1" x14ac:dyDescent="0.2">
      <c r="A16" s="43" t="str">
        <f>IF(AND(L!I16&lt;&gt;"Baja",L!I16&lt;&gt;""),L!A16,"")</f>
        <v/>
      </c>
      <c r="B16" s="19" t="str">
        <f>IF(AND(L!I16&lt;&gt;"Baja",L!I16&lt;&gt;""),L!B16,"")</f>
        <v/>
      </c>
      <c r="C16" s="16">
        <f>IF(AND(L!I16&lt;&gt;"Baja",L!I16&lt;&gt;""),L!H16,0)</f>
        <v>0</v>
      </c>
      <c r="D16" s="17">
        <f>IF(AND(L!I16&lt;&gt;"Baja",L!I16&lt;&gt;""),1+(L!Q16+L!R16)/DA,0)</f>
        <v>0</v>
      </c>
      <c r="E16" s="16">
        <f t="shared" si="21"/>
        <v>0</v>
      </c>
      <c r="F16" s="16">
        <f t="shared" si="0"/>
        <v>0</v>
      </c>
      <c r="H16" s="18">
        <f>IF(A16&lt;&gt;"",IF(L!I16="Finiquito",L!J16-$N$1+1,DN),0)</f>
        <v>0</v>
      </c>
      <c r="I16" s="18"/>
      <c r="J16" s="18"/>
      <c r="K16" s="20">
        <f t="shared" si="1"/>
        <v>0</v>
      </c>
      <c r="M16" s="48"/>
      <c r="N16" s="48"/>
      <c r="O16" s="48"/>
      <c r="P16" s="49"/>
      <c r="Q16" s="48" t="str">
        <f>IF(P16,L!Q16,"")</f>
        <v/>
      </c>
      <c r="R16" s="48">
        <v>0.05</v>
      </c>
      <c r="S16" s="48">
        <v>0.1</v>
      </c>
      <c r="T16" s="48">
        <v>0.1</v>
      </c>
      <c r="U16" s="48"/>
      <c r="V16" s="48"/>
      <c r="W16" s="48"/>
      <c r="Y16" s="48"/>
      <c r="Z16" s="19" t="s">
        <v>51</v>
      </c>
      <c r="AA16" s="48"/>
      <c r="AB16" s="48"/>
      <c r="AC16" s="48"/>
      <c r="AD16" s="48"/>
      <c r="AE16" s="48"/>
      <c r="AI16" s="50">
        <f t="shared" si="2"/>
        <v>0</v>
      </c>
      <c r="AJ16" s="50">
        <f t="shared" si="3"/>
        <v>0</v>
      </c>
      <c r="AK16" s="50">
        <f t="shared" si="4"/>
        <v>0</v>
      </c>
      <c r="AL16" s="50">
        <f t="shared" si="22"/>
        <v>0</v>
      </c>
      <c r="AM16" s="50">
        <f t="shared" si="23"/>
        <v>0</v>
      </c>
      <c r="AN16" s="50">
        <f t="shared" si="5"/>
        <v>0</v>
      </c>
      <c r="AO16" s="50">
        <f t="shared" si="6"/>
        <v>0</v>
      </c>
      <c r="AP16" s="50">
        <f t="shared" si="7"/>
        <v>0</v>
      </c>
      <c r="AQ16" s="50">
        <f t="shared" si="8"/>
        <v>0</v>
      </c>
      <c r="AR16" s="50">
        <f t="shared" si="59"/>
        <v>0</v>
      </c>
      <c r="AS16" s="50">
        <f t="shared" si="9"/>
        <v>0</v>
      </c>
      <c r="AT16" s="50">
        <f t="shared" si="10"/>
        <v>0</v>
      </c>
      <c r="AU16" s="50">
        <f t="shared" si="24"/>
        <v>0</v>
      </c>
      <c r="AV16" s="50">
        <f t="shared" si="11"/>
        <v>0</v>
      </c>
      <c r="AW16" s="50">
        <f t="shared" si="25"/>
        <v>0</v>
      </c>
      <c r="AX16" s="50">
        <f t="shared" si="26"/>
        <v>0</v>
      </c>
      <c r="AY16" s="50">
        <f t="shared" si="12"/>
        <v>0</v>
      </c>
      <c r="BC16" s="50">
        <f t="shared" si="27"/>
        <v>0</v>
      </c>
      <c r="BD16" s="50">
        <f t="shared" si="28"/>
        <v>0</v>
      </c>
      <c r="BE16" s="50">
        <f t="shared" si="29"/>
        <v>0</v>
      </c>
      <c r="BF16" s="50">
        <f t="shared" si="30"/>
        <v>0</v>
      </c>
      <c r="BG16" s="50">
        <f t="shared" si="31"/>
        <v>0</v>
      </c>
      <c r="BH16" s="50">
        <f>IF(P16,C16*L!P16,0)</f>
        <v>0</v>
      </c>
      <c r="BI16" s="50">
        <f t="shared" si="32"/>
        <v>0</v>
      </c>
      <c r="BJ16" s="50">
        <f t="shared" si="33"/>
        <v>0</v>
      </c>
      <c r="BK16" s="50">
        <f t="shared" si="34"/>
        <v>0</v>
      </c>
      <c r="BL16" s="50">
        <f t="shared" si="35"/>
        <v>0</v>
      </c>
      <c r="BM16" s="50">
        <f t="shared" si="36"/>
        <v>0</v>
      </c>
      <c r="BN16" s="50">
        <f t="shared" si="37"/>
        <v>0</v>
      </c>
      <c r="BO16" s="50">
        <f t="shared" si="38"/>
        <v>0</v>
      </c>
      <c r="BQ16" s="50">
        <f t="shared" si="39"/>
        <v>0</v>
      </c>
      <c r="BR16" s="50">
        <f t="shared" si="40"/>
        <v>0</v>
      </c>
      <c r="BS16" s="50">
        <f t="shared" si="41"/>
        <v>0</v>
      </c>
      <c r="BT16" s="50">
        <f t="shared" si="42"/>
        <v>0</v>
      </c>
      <c r="BU16" s="50">
        <f t="shared" si="43"/>
        <v>0</v>
      </c>
      <c r="BV16" s="50">
        <f t="shared" si="44"/>
        <v>0</v>
      </c>
      <c r="BW16" s="50">
        <f t="shared" si="45"/>
        <v>0</v>
      </c>
      <c r="BX16" s="50">
        <f t="shared" si="46"/>
        <v>0</v>
      </c>
      <c r="BY16" s="50">
        <f t="shared" si="47"/>
        <v>0</v>
      </c>
      <c r="CC16" s="50">
        <f t="shared" si="61"/>
        <v>0</v>
      </c>
      <c r="CD16" s="50">
        <f t="shared" si="13"/>
        <v>0</v>
      </c>
      <c r="CE16" s="50">
        <f t="shared" si="14"/>
        <v>0</v>
      </c>
      <c r="CF16" s="50">
        <f t="shared" si="15"/>
        <v>0</v>
      </c>
      <c r="CG16" s="50">
        <f t="shared" si="16"/>
        <v>0</v>
      </c>
      <c r="CH16" s="50">
        <f t="shared" si="17"/>
        <v>0</v>
      </c>
      <c r="CJ16" s="50">
        <f t="shared" si="18"/>
        <v>0</v>
      </c>
      <c r="CK16" s="50">
        <f t="shared" si="49"/>
        <v>0</v>
      </c>
      <c r="CL16" s="50">
        <f t="shared" si="50"/>
        <v>0</v>
      </c>
      <c r="CM16" s="50">
        <f t="shared" si="51"/>
        <v>0</v>
      </c>
      <c r="CN16" s="50">
        <f t="shared" si="52"/>
        <v>0</v>
      </c>
      <c r="CO16" s="50">
        <f t="shared" si="53"/>
        <v>0</v>
      </c>
      <c r="CQ16" s="50">
        <f t="shared" si="54"/>
        <v>0</v>
      </c>
      <c r="CR16" s="50">
        <f t="shared" si="55"/>
        <v>0</v>
      </c>
      <c r="CS16" s="50">
        <f t="shared" si="56"/>
        <v>0</v>
      </c>
      <c r="CT16" s="50">
        <f t="shared" si="19"/>
        <v>0</v>
      </c>
      <c r="CU16" s="50">
        <f t="shared" si="57"/>
        <v>0</v>
      </c>
      <c r="CV16" s="50">
        <f t="shared" si="20"/>
        <v>0</v>
      </c>
      <c r="CW16" s="50">
        <f t="shared" si="58"/>
        <v>0</v>
      </c>
    </row>
    <row r="17" spans="1:101" s="19" customFormat="1" hidden="1" x14ac:dyDescent="0.2">
      <c r="A17" s="43" t="str">
        <f>IF(AND(L!I17&lt;&gt;"Baja",L!I17&lt;&gt;""),L!A17,"")</f>
        <v/>
      </c>
      <c r="B17" s="19" t="str">
        <f>IF(AND(L!I17&lt;&gt;"Baja",L!I17&lt;&gt;""),L!B17,"")</f>
        <v/>
      </c>
      <c r="C17" s="16">
        <f>IF(AND(L!I17&lt;&gt;"Baja",L!I17&lt;&gt;""),L!H17,0)</f>
        <v>0</v>
      </c>
      <c r="D17" s="17">
        <f>IF(AND(L!I17&lt;&gt;"Baja",L!I17&lt;&gt;""),1+(L!Q17+L!R17)/DA,0)</f>
        <v>0</v>
      </c>
      <c r="E17" s="16">
        <f t="shared" si="21"/>
        <v>0</v>
      </c>
      <c r="F17" s="16">
        <f t="shared" si="0"/>
        <v>0</v>
      </c>
      <c r="H17" s="18">
        <f>IF(A17&lt;&gt;"",IF(L!I17="Finiquito",L!J17-$N$1+1,DN),0)</f>
        <v>0</v>
      </c>
      <c r="I17" s="18"/>
      <c r="J17" s="18"/>
      <c r="K17" s="20">
        <f t="shared" si="1"/>
        <v>0</v>
      </c>
      <c r="M17" s="48"/>
      <c r="N17" s="48"/>
      <c r="O17" s="48"/>
      <c r="P17" s="49"/>
      <c r="Q17" s="48" t="str">
        <f>IF(P17,L!Q17,"")</f>
        <v/>
      </c>
      <c r="R17" s="48">
        <v>0.05</v>
      </c>
      <c r="S17" s="48">
        <v>0.1</v>
      </c>
      <c r="T17" s="48">
        <v>0.1</v>
      </c>
      <c r="U17" s="48"/>
      <c r="V17" s="48"/>
      <c r="W17" s="48"/>
      <c r="Y17" s="48"/>
      <c r="Z17" s="19" t="s">
        <v>51</v>
      </c>
      <c r="AA17" s="48"/>
      <c r="AB17" s="48"/>
      <c r="AC17" s="48"/>
      <c r="AD17" s="48"/>
      <c r="AE17" s="48"/>
      <c r="AI17" s="50">
        <f t="shared" si="2"/>
        <v>0</v>
      </c>
      <c r="AJ17" s="50">
        <f t="shared" si="3"/>
        <v>0</v>
      </c>
      <c r="AK17" s="50">
        <f t="shared" si="4"/>
        <v>0</v>
      </c>
      <c r="AL17" s="50">
        <f t="shared" si="22"/>
        <v>0</v>
      </c>
      <c r="AM17" s="50">
        <f t="shared" si="23"/>
        <v>0</v>
      </c>
      <c r="AN17" s="50">
        <f t="shared" si="5"/>
        <v>0</v>
      </c>
      <c r="AO17" s="50">
        <f t="shared" si="6"/>
        <v>0</v>
      </c>
      <c r="AP17" s="50">
        <f t="shared" si="7"/>
        <v>0</v>
      </c>
      <c r="AQ17" s="50">
        <f t="shared" si="8"/>
        <v>0</v>
      </c>
      <c r="AR17" s="50">
        <f t="shared" si="59"/>
        <v>0</v>
      </c>
      <c r="AS17" s="50">
        <f t="shared" si="9"/>
        <v>0</v>
      </c>
      <c r="AT17" s="50">
        <f t="shared" si="10"/>
        <v>0</v>
      </c>
      <c r="AU17" s="50">
        <f t="shared" si="24"/>
        <v>0</v>
      </c>
      <c r="AV17" s="50">
        <f t="shared" si="11"/>
        <v>0</v>
      </c>
      <c r="AW17" s="50">
        <f t="shared" si="25"/>
        <v>0</v>
      </c>
      <c r="AX17" s="50">
        <f t="shared" si="26"/>
        <v>0</v>
      </c>
      <c r="AY17" s="50">
        <f t="shared" si="12"/>
        <v>0</v>
      </c>
      <c r="BC17" s="50">
        <f t="shared" si="27"/>
        <v>0</v>
      </c>
      <c r="BD17" s="50">
        <f t="shared" si="28"/>
        <v>0</v>
      </c>
      <c r="BE17" s="50">
        <f t="shared" si="29"/>
        <v>0</v>
      </c>
      <c r="BF17" s="50">
        <f t="shared" si="30"/>
        <v>0</v>
      </c>
      <c r="BG17" s="50">
        <f t="shared" si="31"/>
        <v>0</v>
      </c>
      <c r="BH17" s="50">
        <f>IF(P17,C17*L!P17,0)</f>
        <v>0</v>
      </c>
      <c r="BI17" s="50">
        <f t="shared" si="32"/>
        <v>0</v>
      </c>
      <c r="BJ17" s="50">
        <f t="shared" si="33"/>
        <v>0</v>
      </c>
      <c r="BK17" s="50">
        <f t="shared" si="34"/>
        <v>0</v>
      </c>
      <c r="BL17" s="50">
        <f t="shared" si="35"/>
        <v>0</v>
      </c>
      <c r="BM17" s="50">
        <f t="shared" si="36"/>
        <v>0</v>
      </c>
      <c r="BN17" s="50">
        <f t="shared" si="37"/>
        <v>0</v>
      </c>
      <c r="BO17" s="50">
        <f t="shared" si="38"/>
        <v>0</v>
      </c>
      <c r="BQ17" s="50">
        <f t="shared" si="39"/>
        <v>0</v>
      </c>
      <c r="BR17" s="50">
        <f t="shared" si="40"/>
        <v>0</v>
      </c>
      <c r="BS17" s="50">
        <f t="shared" si="41"/>
        <v>0</v>
      </c>
      <c r="BT17" s="50">
        <f t="shared" si="42"/>
        <v>0</v>
      </c>
      <c r="BU17" s="50">
        <f t="shared" si="43"/>
        <v>0</v>
      </c>
      <c r="BV17" s="50">
        <f t="shared" si="44"/>
        <v>0</v>
      </c>
      <c r="BW17" s="50">
        <f t="shared" si="45"/>
        <v>0</v>
      </c>
      <c r="BX17" s="50">
        <f t="shared" si="46"/>
        <v>0</v>
      </c>
      <c r="BY17" s="50">
        <f t="shared" si="47"/>
        <v>0</v>
      </c>
      <c r="CC17" s="50">
        <f t="shared" si="61"/>
        <v>0</v>
      </c>
      <c r="CD17" s="50">
        <f t="shared" si="13"/>
        <v>0</v>
      </c>
      <c r="CE17" s="50">
        <f t="shared" si="14"/>
        <v>0</v>
      </c>
      <c r="CF17" s="50">
        <f t="shared" si="15"/>
        <v>0</v>
      </c>
      <c r="CG17" s="50">
        <f t="shared" si="16"/>
        <v>0</v>
      </c>
      <c r="CH17" s="50">
        <f t="shared" si="17"/>
        <v>0</v>
      </c>
      <c r="CJ17" s="50">
        <f t="shared" si="18"/>
        <v>0</v>
      </c>
      <c r="CK17" s="50">
        <f t="shared" si="49"/>
        <v>0</v>
      </c>
      <c r="CL17" s="50">
        <f t="shared" si="50"/>
        <v>0</v>
      </c>
      <c r="CM17" s="50">
        <f t="shared" si="51"/>
        <v>0</v>
      </c>
      <c r="CN17" s="50">
        <f t="shared" si="52"/>
        <v>0</v>
      </c>
      <c r="CO17" s="50">
        <f t="shared" si="53"/>
        <v>0</v>
      </c>
      <c r="CQ17" s="50">
        <f t="shared" si="54"/>
        <v>0</v>
      </c>
      <c r="CR17" s="50">
        <f t="shared" si="55"/>
        <v>0</v>
      </c>
      <c r="CS17" s="50">
        <f t="shared" si="56"/>
        <v>0</v>
      </c>
      <c r="CT17" s="50">
        <f t="shared" si="19"/>
        <v>0</v>
      </c>
      <c r="CU17" s="50">
        <f t="shared" si="57"/>
        <v>0</v>
      </c>
      <c r="CV17" s="50">
        <f t="shared" si="20"/>
        <v>0</v>
      </c>
      <c r="CW17" s="50">
        <f t="shared" si="58"/>
        <v>0</v>
      </c>
    </row>
    <row r="18" spans="1:101" s="19" customFormat="1" hidden="1" x14ac:dyDescent="0.2">
      <c r="A18" s="43" t="str">
        <f>IF(AND(L!I18&lt;&gt;"Baja",L!I18&lt;&gt;""),L!A18,"")</f>
        <v/>
      </c>
      <c r="B18" s="19" t="str">
        <f>IF(AND(L!I18&lt;&gt;"Baja",L!I18&lt;&gt;""),L!B18,"")</f>
        <v/>
      </c>
      <c r="C18" s="16">
        <f>IF(AND(L!I18&lt;&gt;"Baja",L!I18&lt;&gt;""),L!H18,0)</f>
        <v>0</v>
      </c>
      <c r="D18" s="17">
        <f>IF(AND(L!I18&lt;&gt;"Baja",L!I18&lt;&gt;""),1+(L!Q18+L!R18)/DA,0)</f>
        <v>0</v>
      </c>
      <c r="E18" s="16">
        <f t="shared" si="21"/>
        <v>0</v>
      </c>
      <c r="F18" s="16">
        <f t="shared" si="0"/>
        <v>0</v>
      </c>
      <c r="H18" s="18">
        <f>IF(A18&lt;&gt;"",IF(L!I18="Finiquito",L!J18-$N$1+1,DN),0)</f>
        <v>0</v>
      </c>
      <c r="I18" s="18"/>
      <c r="J18" s="18"/>
      <c r="K18" s="20">
        <f t="shared" si="1"/>
        <v>0</v>
      </c>
      <c r="M18" s="48"/>
      <c r="N18" s="48"/>
      <c r="O18" s="48"/>
      <c r="P18" s="49"/>
      <c r="Q18" s="48" t="str">
        <f>IF(P18,L!Q18,"")</f>
        <v/>
      </c>
      <c r="R18" s="48">
        <v>0.05</v>
      </c>
      <c r="S18" s="48">
        <v>0.1</v>
      </c>
      <c r="T18" s="48">
        <v>0.1</v>
      </c>
      <c r="U18" s="48"/>
      <c r="V18" s="48"/>
      <c r="W18" s="48"/>
      <c r="Y18" s="48"/>
      <c r="Z18" s="19" t="s">
        <v>51</v>
      </c>
      <c r="AA18" s="48"/>
      <c r="AB18" s="48"/>
      <c r="AC18" s="48"/>
      <c r="AD18" s="48"/>
      <c r="AE18" s="48"/>
      <c r="AI18" s="50">
        <f t="shared" si="2"/>
        <v>0</v>
      </c>
      <c r="AJ18" s="50">
        <f t="shared" si="3"/>
        <v>0</v>
      </c>
      <c r="AK18" s="50">
        <f t="shared" si="4"/>
        <v>0</v>
      </c>
      <c r="AL18" s="50">
        <f t="shared" si="22"/>
        <v>0</v>
      </c>
      <c r="AM18" s="50">
        <f t="shared" si="23"/>
        <v>0</v>
      </c>
      <c r="AN18" s="50">
        <f t="shared" si="5"/>
        <v>0</v>
      </c>
      <c r="AO18" s="50">
        <f t="shared" si="6"/>
        <v>0</v>
      </c>
      <c r="AP18" s="50">
        <f t="shared" si="7"/>
        <v>0</v>
      </c>
      <c r="AQ18" s="50">
        <f t="shared" si="8"/>
        <v>0</v>
      </c>
      <c r="AR18" s="50">
        <f t="shared" si="59"/>
        <v>0</v>
      </c>
      <c r="AS18" s="50">
        <f t="shared" si="9"/>
        <v>0</v>
      </c>
      <c r="AT18" s="50">
        <f t="shared" si="10"/>
        <v>0</v>
      </c>
      <c r="AU18" s="50">
        <f t="shared" si="24"/>
        <v>0</v>
      </c>
      <c r="AV18" s="50">
        <f t="shared" si="11"/>
        <v>0</v>
      </c>
      <c r="AW18" s="50">
        <f t="shared" si="25"/>
        <v>0</v>
      </c>
      <c r="AX18" s="50">
        <f t="shared" si="26"/>
        <v>0</v>
      </c>
      <c r="AY18" s="50">
        <f t="shared" si="12"/>
        <v>0</v>
      </c>
      <c r="BC18" s="50">
        <f t="shared" si="27"/>
        <v>0</v>
      </c>
      <c r="BD18" s="50">
        <f t="shared" si="28"/>
        <v>0</v>
      </c>
      <c r="BE18" s="50">
        <f t="shared" si="29"/>
        <v>0</v>
      </c>
      <c r="BF18" s="50">
        <f t="shared" si="30"/>
        <v>0</v>
      </c>
      <c r="BG18" s="50">
        <f t="shared" si="31"/>
        <v>0</v>
      </c>
      <c r="BH18" s="50">
        <f>IF(P18,C18*L!P18,0)</f>
        <v>0</v>
      </c>
      <c r="BI18" s="50">
        <f t="shared" si="32"/>
        <v>0</v>
      </c>
      <c r="BJ18" s="50">
        <f t="shared" si="33"/>
        <v>0</v>
      </c>
      <c r="BK18" s="50">
        <f t="shared" si="34"/>
        <v>0</v>
      </c>
      <c r="BL18" s="50">
        <f t="shared" si="35"/>
        <v>0</v>
      </c>
      <c r="BM18" s="50">
        <f t="shared" si="36"/>
        <v>0</v>
      </c>
      <c r="BN18" s="50">
        <f t="shared" si="37"/>
        <v>0</v>
      </c>
      <c r="BO18" s="50">
        <f t="shared" si="38"/>
        <v>0</v>
      </c>
      <c r="BQ18" s="50">
        <f t="shared" si="39"/>
        <v>0</v>
      </c>
      <c r="BR18" s="50">
        <f t="shared" si="40"/>
        <v>0</v>
      </c>
      <c r="BS18" s="50">
        <f t="shared" si="41"/>
        <v>0</v>
      </c>
      <c r="BT18" s="50">
        <f t="shared" si="42"/>
        <v>0</v>
      </c>
      <c r="BU18" s="50">
        <f t="shared" si="43"/>
        <v>0</v>
      </c>
      <c r="BV18" s="50">
        <f t="shared" si="44"/>
        <v>0</v>
      </c>
      <c r="BW18" s="50">
        <f t="shared" si="45"/>
        <v>0</v>
      </c>
      <c r="BX18" s="50">
        <f t="shared" si="46"/>
        <v>0</v>
      </c>
      <c r="BY18" s="50">
        <f t="shared" si="47"/>
        <v>0</v>
      </c>
      <c r="CC18" s="50">
        <f t="shared" si="61"/>
        <v>0</v>
      </c>
      <c r="CD18" s="50">
        <f t="shared" si="13"/>
        <v>0</v>
      </c>
      <c r="CE18" s="50">
        <f t="shared" si="14"/>
        <v>0</v>
      </c>
      <c r="CF18" s="50">
        <f t="shared" si="15"/>
        <v>0</v>
      </c>
      <c r="CG18" s="50">
        <f t="shared" si="16"/>
        <v>0</v>
      </c>
      <c r="CH18" s="50">
        <f t="shared" si="17"/>
        <v>0</v>
      </c>
      <c r="CJ18" s="50">
        <f t="shared" si="18"/>
        <v>0</v>
      </c>
      <c r="CK18" s="50">
        <f t="shared" si="49"/>
        <v>0</v>
      </c>
      <c r="CL18" s="50">
        <f t="shared" si="50"/>
        <v>0</v>
      </c>
      <c r="CM18" s="50">
        <f t="shared" si="51"/>
        <v>0</v>
      </c>
      <c r="CN18" s="50">
        <f t="shared" si="52"/>
        <v>0</v>
      </c>
      <c r="CO18" s="50">
        <f t="shared" si="53"/>
        <v>0</v>
      </c>
      <c r="CQ18" s="50">
        <f t="shared" si="54"/>
        <v>0</v>
      </c>
      <c r="CR18" s="50">
        <f t="shared" si="55"/>
        <v>0</v>
      </c>
      <c r="CS18" s="50">
        <f t="shared" si="56"/>
        <v>0</v>
      </c>
      <c r="CT18" s="50">
        <f t="shared" si="19"/>
        <v>0</v>
      </c>
      <c r="CU18" s="50">
        <f t="shared" si="57"/>
        <v>0</v>
      </c>
      <c r="CV18" s="50">
        <f t="shared" si="20"/>
        <v>0</v>
      </c>
      <c r="CW18" s="50">
        <f t="shared" si="58"/>
        <v>0</v>
      </c>
    </row>
    <row r="19" spans="1:101" s="19" customFormat="1" hidden="1" x14ac:dyDescent="0.2">
      <c r="A19" s="43" t="str">
        <f>IF(AND(L!I19&lt;&gt;"Baja",L!I19&lt;&gt;""),L!A19,"")</f>
        <v/>
      </c>
      <c r="B19" s="19" t="str">
        <f>IF(AND(L!I19&lt;&gt;"Baja",L!I19&lt;&gt;""),L!B19,"")</f>
        <v/>
      </c>
      <c r="C19" s="16">
        <f>IF(AND(L!I19&lt;&gt;"Baja",L!I19&lt;&gt;""),L!H19,0)</f>
        <v>0</v>
      </c>
      <c r="D19" s="17">
        <f>IF(AND(L!I19&lt;&gt;"Baja",L!I19&lt;&gt;""),1+(L!Q19+L!R19)/DA,0)</f>
        <v>0</v>
      </c>
      <c r="E19" s="16">
        <f t="shared" si="21"/>
        <v>0</v>
      </c>
      <c r="F19" s="16">
        <f t="shared" si="0"/>
        <v>0</v>
      </c>
      <c r="H19" s="18">
        <f>IF(A19&lt;&gt;"",IF(L!I19="Finiquito",L!J19-$N$1+1,DN),0)</f>
        <v>0</v>
      </c>
      <c r="I19" s="18"/>
      <c r="J19" s="18"/>
      <c r="K19" s="20">
        <f t="shared" si="1"/>
        <v>0</v>
      </c>
      <c r="M19" s="48"/>
      <c r="N19" s="48"/>
      <c r="O19" s="48"/>
      <c r="P19" s="49"/>
      <c r="Q19" s="48" t="str">
        <f>IF(P19,L!Q19,"")</f>
        <v/>
      </c>
      <c r="R19" s="48">
        <v>0.05</v>
      </c>
      <c r="S19" s="48">
        <v>0.1</v>
      </c>
      <c r="T19" s="48">
        <v>0.1</v>
      </c>
      <c r="U19" s="48"/>
      <c r="V19" s="48"/>
      <c r="W19" s="48"/>
      <c r="Y19" s="48"/>
      <c r="Z19" s="19" t="s">
        <v>51</v>
      </c>
      <c r="AA19" s="48"/>
      <c r="AB19" s="48"/>
      <c r="AC19" s="48"/>
      <c r="AD19" s="48"/>
      <c r="AE19" s="48"/>
      <c r="AI19" s="50">
        <f t="shared" si="2"/>
        <v>0</v>
      </c>
      <c r="AJ19" s="50">
        <f t="shared" si="3"/>
        <v>0</v>
      </c>
      <c r="AK19" s="50">
        <f t="shared" si="4"/>
        <v>0</v>
      </c>
      <c r="AL19" s="50">
        <f t="shared" si="22"/>
        <v>0</v>
      </c>
      <c r="AM19" s="50">
        <f t="shared" si="23"/>
        <v>0</v>
      </c>
      <c r="AN19" s="50">
        <f t="shared" si="5"/>
        <v>0</v>
      </c>
      <c r="AO19" s="50">
        <f t="shared" si="6"/>
        <v>0</v>
      </c>
      <c r="AP19" s="50">
        <f t="shared" si="7"/>
        <v>0</v>
      </c>
      <c r="AQ19" s="50">
        <f t="shared" si="8"/>
        <v>0</v>
      </c>
      <c r="AR19" s="50">
        <f t="shared" si="59"/>
        <v>0</v>
      </c>
      <c r="AS19" s="50">
        <f t="shared" si="9"/>
        <v>0</v>
      </c>
      <c r="AT19" s="50">
        <f t="shared" si="10"/>
        <v>0</v>
      </c>
      <c r="AU19" s="50">
        <f t="shared" si="24"/>
        <v>0</v>
      </c>
      <c r="AV19" s="50">
        <f t="shared" si="11"/>
        <v>0</v>
      </c>
      <c r="AW19" s="50">
        <f t="shared" si="25"/>
        <v>0</v>
      </c>
      <c r="AX19" s="50">
        <f t="shared" si="26"/>
        <v>0</v>
      </c>
      <c r="AY19" s="50">
        <f t="shared" si="12"/>
        <v>0</v>
      </c>
      <c r="BC19" s="50">
        <f t="shared" si="27"/>
        <v>0</v>
      </c>
      <c r="BD19" s="50">
        <f t="shared" si="28"/>
        <v>0</v>
      </c>
      <c r="BE19" s="50">
        <f t="shared" si="29"/>
        <v>0</v>
      </c>
      <c r="BF19" s="50">
        <f t="shared" si="30"/>
        <v>0</v>
      </c>
      <c r="BG19" s="50">
        <f t="shared" si="31"/>
        <v>0</v>
      </c>
      <c r="BH19" s="50">
        <f>IF(P19,C19*L!P19,0)</f>
        <v>0</v>
      </c>
      <c r="BI19" s="50">
        <f t="shared" si="32"/>
        <v>0</v>
      </c>
      <c r="BJ19" s="50">
        <f t="shared" si="33"/>
        <v>0</v>
      </c>
      <c r="BK19" s="50">
        <f t="shared" si="34"/>
        <v>0</v>
      </c>
      <c r="BL19" s="50">
        <f t="shared" si="35"/>
        <v>0</v>
      </c>
      <c r="BM19" s="50">
        <f t="shared" si="36"/>
        <v>0</v>
      </c>
      <c r="BN19" s="50">
        <f t="shared" si="37"/>
        <v>0</v>
      </c>
      <c r="BO19" s="50">
        <f t="shared" si="38"/>
        <v>0</v>
      </c>
      <c r="BQ19" s="50">
        <f t="shared" si="39"/>
        <v>0</v>
      </c>
      <c r="BR19" s="50">
        <f t="shared" si="40"/>
        <v>0</v>
      </c>
      <c r="BS19" s="50">
        <f t="shared" si="41"/>
        <v>0</v>
      </c>
      <c r="BT19" s="50">
        <f t="shared" si="42"/>
        <v>0</v>
      </c>
      <c r="BU19" s="50">
        <f t="shared" si="43"/>
        <v>0</v>
      </c>
      <c r="BV19" s="50">
        <f t="shared" si="44"/>
        <v>0</v>
      </c>
      <c r="BW19" s="50">
        <f t="shared" si="45"/>
        <v>0</v>
      </c>
      <c r="BX19" s="50">
        <f t="shared" si="46"/>
        <v>0</v>
      </c>
      <c r="BY19" s="50">
        <f t="shared" si="47"/>
        <v>0</v>
      </c>
      <c r="CC19" s="50">
        <f t="shared" si="61"/>
        <v>0</v>
      </c>
      <c r="CD19" s="50">
        <f t="shared" si="13"/>
        <v>0</v>
      </c>
      <c r="CE19" s="50">
        <f t="shared" si="14"/>
        <v>0</v>
      </c>
      <c r="CF19" s="50">
        <f t="shared" si="15"/>
        <v>0</v>
      </c>
      <c r="CG19" s="50">
        <f t="shared" si="16"/>
        <v>0</v>
      </c>
      <c r="CH19" s="50">
        <f t="shared" si="17"/>
        <v>0</v>
      </c>
      <c r="CJ19" s="50">
        <f t="shared" si="18"/>
        <v>0</v>
      </c>
      <c r="CK19" s="50">
        <f t="shared" si="49"/>
        <v>0</v>
      </c>
      <c r="CL19" s="50">
        <f t="shared" si="50"/>
        <v>0</v>
      </c>
      <c r="CM19" s="50">
        <f t="shared" si="51"/>
        <v>0</v>
      </c>
      <c r="CN19" s="50">
        <f t="shared" si="52"/>
        <v>0</v>
      </c>
      <c r="CO19" s="50">
        <f t="shared" si="53"/>
        <v>0</v>
      </c>
      <c r="CQ19" s="50">
        <f t="shared" si="54"/>
        <v>0</v>
      </c>
      <c r="CR19" s="50">
        <f t="shared" si="55"/>
        <v>0</v>
      </c>
      <c r="CS19" s="50">
        <f t="shared" si="56"/>
        <v>0</v>
      </c>
      <c r="CT19" s="50">
        <f t="shared" si="19"/>
        <v>0</v>
      </c>
      <c r="CU19" s="50">
        <f t="shared" si="57"/>
        <v>0</v>
      </c>
      <c r="CV19" s="50">
        <f t="shared" si="20"/>
        <v>0</v>
      </c>
      <c r="CW19" s="50">
        <f t="shared" si="58"/>
        <v>0</v>
      </c>
    </row>
    <row r="20" spans="1:101" s="19" customFormat="1" hidden="1" x14ac:dyDescent="0.2">
      <c r="A20" s="43" t="str">
        <f>IF(AND(L!I20&lt;&gt;"Baja",L!I20&lt;&gt;""),L!A20,"")</f>
        <v/>
      </c>
      <c r="B20" s="19" t="str">
        <f>IF(AND(L!I20&lt;&gt;"Baja",L!I20&lt;&gt;""),L!B20,"")</f>
        <v/>
      </c>
      <c r="C20" s="16">
        <f>IF(AND(L!I20&lt;&gt;"Baja",L!I20&lt;&gt;""),L!H20,0)</f>
        <v>0</v>
      </c>
      <c r="D20" s="17">
        <f>IF(AND(L!I20&lt;&gt;"Baja",L!I20&lt;&gt;""),1+(L!Q20+L!R20)/DA,0)</f>
        <v>0</v>
      </c>
      <c r="E20" s="16">
        <f t="shared" si="21"/>
        <v>0</v>
      </c>
      <c r="F20" s="16">
        <f t="shared" si="0"/>
        <v>0</v>
      </c>
      <c r="H20" s="18">
        <f>IF(A20&lt;&gt;"",IF(L!I20="Finiquito",L!J20-$N$1+1,DN),0)</f>
        <v>0</v>
      </c>
      <c r="I20" s="18"/>
      <c r="J20" s="18"/>
      <c r="K20" s="20">
        <f t="shared" si="1"/>
        <v>0</v>
      </c>
      <c r="M20" s="48"/>
      <c r="N20" s="48"/>
      <c r="O20" s="48"/>
      <c r="P20" s="49"/>
      <c r="Q20" s="48" t="str">
        <f>IF(P20,L!Q20,"")</f>
        <v/>
      </c>
      <c r="R20" s="48">
        <v>0.05</v>
      </c>
      <c r="S20" s="48">
        <v>0.1</v>
      </c>
      <c r="T20" s="48">
        <v>0.1</v>
      </c>
      <c r="U20" s="48"/>
      <c r="V20" s="48"/>
      <c r="W20" s="48"/>
      <c r="Y20" s="48"/>
      <c r="Z20" s="19" t="s">
        <v>51</v>
      </c>
      <c r="AA20" s="48"/>
      <c r="AB20" s="48"/>
      <c r="AC20" s="48"/>
      <c r="AD20" s="48"/>
      <c r="AE20" s="48"/>
      <c r="AI20" s="50">
        <f t="shared" si="2"/>
        <v>0</v>
      </c>
      <c r="AJ20" s="50">
        <f t="shared" si="3"/>
        <v>0</v>
      </c>
      <c r="AK20" s="50">
        <f t="shared" si="4"/>
        <v>0</v>
      </c>
      <c r="AL20" s="50">
        <f t="shared" si="22"/>
        <v>0</v>
      </c>
      <c r="AM20" s="50">
        <f t="shared" si="23"/>
        <v>0</v>
      </c>
      <c r="AN20" s="50">
        <f t="shared" si="5"/>
        <v>0</v>
      </c>
      <c r="AO20" s="50">
        <f t="shared" si="6"/>
        <v>0</v>
      </c>
      <c r="AP20" s="50">
        <f t="shared" si="7"/>
        <v>0</v>
      </c>
      <c r="AQ20" s="50">
        <f t="shared" si="8"/>
        <v>0</v>
      </c>
      <c r="AR20" s="50">
        <f t="shared" si="59"/>
        <v>0</v>
      </c>
      <c r="AS20" s="50">
        <f t="shared" si="9"/>
        <v>0</v>
      </c>
      <c r="AT20" s="50">
        <f t="shared" si="10"/>
        <v>0</v>
      </c>
      <c r="AU20" s="50">
        <f t="shared" si="24"/>
        <v>0</v>
      </c>
      <c r="AV20" s="50">
        <f t="shared" si="11"/>
        <v>0</v>
      </c>
      <c r="AW20" s="50">
        <f t="shared" si="25"/>
        <v>0</v>
      </c>
      <c r="AX20" s="50">
        <f t="shared" si="26"/>
        <v>0</v>
      </c>
      <c r="AY20" s="50">
        <f t="shared" si="12"/>
        <v>0</v>
      </c>
      <c r="BC20" s="50">
        <f t="shared" si="27"/>
        <v>0</v>
      </c>
      <c r="BD20" s="50">
        <f t="shared" si="28"/>
        <v>0</v>
      </c>
      <c r="BE20" s="50">
        <f t="shared" si="29"/>
        <v>0</v>
      </c>
      <c r="BF20" s="50">
        <f t="shared" si="30"/>
        <v>0</v>
      </c>
      <c r="BG20" s="50">
        <f t="shared" si="31"/>
        <v>0</v>
      </c>
      <c r="BH20" s="50">
        <f>IF(P20,C20*L!P20,0)</f>
        <v>0</v>
      </c>
      <c r="BI20" s="50">
        <f t="shared" si="32"/>
        <v>0</v>
      </c>
      <c r="BJ20" s="50">
        <f t="shared" si="33"/>
        <v>0</v>
      </c>
      <c r="BK20" s="50">
        <f t="shared" si="34"/>
        <v>0</v>
      </c>
      <c r="BL20" s="50">
        <f t="shared" si="35"/>
        <v>0</v>
      </c>
      <c r="BM20" s="50">
        <f t="shared" si="36"/>
        <v>0</v>
      </c>
      <c r="BN20" s="50">
        <f t="shared" si="37"/>
        <v>0</v>
      </c>
      <c r="BO20" s="50">
        <f t="shared" si="38"/>
        <v>0</v>
      </c>
      <c r="BQ20" s="50">
        <f t="shared" si="39"/>
        <v>0</v>
      </c>
      <c r="BR20" s="50">
        <f t="shared" si="40"/>
        <v>0</v>
      </c>
      <c r="BS20" s="50">
        <f t="shared" si="41"/>
        <v>0</v>
      </c>
      <c r="BT20" s="50">
        <f t="shared" si="42"/>
        <v>0</v>
      </c>
      <c r="BU20" s="50">
        <f t="shared" si="43"/>
        <v>0</v>
      </c>
      <c r="BV20" s="50">
        <f t="shared" si="44"/>
        <v>0</v>
      </c>
      <c r="BW20" s="50">
        <f t="shared" si="45"/>
        <v>0</v>
      </c>
      <c r="BX20" s="50">
        <f t="shared" si="46"/>
        <v>0</v>
      </c>
      <c r="BY20" s="50">
        <f t="shared" si="47"/>
        <v>0</v>
      </c>
      <c r="CC20" s="50">
        <f t="shared" si="61"/>
        <v>0</v>
      </c>
      <c r="CD20" s="50">
        <f t="shared" si="13"/>
        <v>0</v>
      </c>
      <c r="CE20" s="50">
        <f t="shared" si="14"/>
        <v>0</v>
      </c>
      <c r="CF20" s="50">
        <f t="shared" si="15"/>
        <v>0</v>
      </c>
      <c r="CG20" s="50">
        <f t="shared" si="16"/>
        <v>0</v>
      </c>
      <c r="CH20" s="50">
        <f t="shared" si="17"/>
        <v>0</v>
      </c>
      <c r="CJ20" s="50">
        <f t="shared" si="18"/>
        <v>0</v>
      </c>
      <c r="CK20" s="50">
        <f t="shared" si="49"/>
        <v>0</v>
      </c>
      <c r="CL20" s="50">
        <f t="shared" si="50"/>
        <v>0</v>
      </c>
      <c r="CM20" s="50">
        <f t="shared" si="51"/>
        <v>0</v>
      </c>
      <c r="CN20" s="50">
        <f t="shared" si="52"/>
        <v>0</v>
      </c>
      <c r="CO20" s="50">
        <f t="shared" si="53"/>
        <v>0</v>
      </c>
      <c r="CQ20" s="50">
        <f t="shared" si="54"/>
        <v>0</v>
      </c>
      <c r="CR20" s="50">
        <f t="shared" si="55"/>
        <v>0</v>
      </c>
      <c r="CS20" s="50">
        <f t="shared" si="56"/>
        <v>0</v>
      </c>
      <c r="CT20" s="50">
        <f t="shared" si="19"/>
        <v>0</v>
      </c>
      <c r="CU20" s="50">
        <f t="shared" si="57"/>
        <v>0</v>
      </c>
      <c r="CV20" s="50">
        <f t="shared" si="20"/>
        <v>0</v>
      </c>
      <c r="CW20" s="50">
        <f t="shared" si="58"/>
        <v>0</v>
      </c>
    </row>
    <row r="21" spans="1:101" s="19" customFormat="1" x14ac:dyDescent="0.2">
      <c r="A21" s="43">
        <f>IF(AND(L!I21&lt;&gt;"Baja",L!I21&lt;&gt;""),L!A21,"")</f>
        <v>18</v>
      </c>
      <c r="B21" s="19" t="str">
        <f>IF(AND(L!I21&lt;&gt;"Baja",L!I21&lt;&gt;""),L!B21,"")</f>
        <v>GUTIERREZ VAZQUEZ JOSE</v>
      </c>
      <c r="C21" s="16">
        <f>IF(AND(L!I21&lt;&gt;"Baja",L!I21&lt;&gt;""),L!H21,0)</f>
        <v>335.24</v>
      </c>
      <c r="D21" s="17">
        <f>IF(AND(L!I21&lt;&gt;"Baja",L!I21&lt;&gt;""),1+(L!Q21+L!R21)/DA,0)</f>
        <v>1.0465753424657533</v>
      </c>
      <c r="E21" s="16">
        <f t="shared" si="21"/>
        <v>350.85</v>
      </c>
      <c r="F21" s="16">
        <f t="shared" si="0"/>
        <v>41.905000000000001</v>
      </c>
      <c r="H21" s="18">
        <f>IF(A21&lt;&gt;"",IF(L!I21="Finiquito",L!J21-$N$1+1,DN),0)</f>
        <v>7</v>
      </c>
      <c r="I21" s="18"/>
      <c r="J21" s="18"/>
      <c r="K21" s="20">
        <f t="shared" si="1"/>
        <v>7</v>
      </c>
      <c r="M21" s="48"/>
      <c r="N21" s="48"/>
      <c r="O21" s="48"/>
      <c r="P21" s="49"/>
      <c r="Q21" s="48" t="str">
        <f>IF(P21,L!Q21,"")</f>
        <v/>
      </c>
      <c r="R21" s="48">
        <v>0.05</v>
      </c>
      <c r="S21" s="48">
        <v>0.1</v>
      </c>
      <c r="T21" s="48">
        <v>0.1</v>
      </c>
      <c r="U21" s="48"/>
      <c r="V21" s="48"/>
      <c r="W21" s="48"/>
      <c r="Y21" s="48"/>
      <c r="AA21" s="48"/>
      <c r="AB21" s="48">
        <v>300</v>
      </c>
      <c r="AC21" s="48"/>
      <c r="AD21" s="48"/>
      <c r="AE21" s="48"/>
      <c r="AI21" s="50">
        <f t="shared" si="2"/>
        <v>0</v>
      </c>
      <c r="AJ21" s="50">
        <f t="shared" si="3"/>
        <v>0</v>
      </c>
      <c r="AK21" s="50">
        <f t="shared" si="4"/>
        <v>0</v>
      </c>
      <c r="AL21" s="50">
        <f t="shared" si="22"/>
        <v>0</v>
      </c>
      <c r="AM21" s="50">
        <f t="shared" si="23"/>
        <v>0</v>
      </c>
      <c r="AN21" s="50">
        <f t="shared" si="5"/>
        <v>0</v>
      </c>
      <c r="AO21" s="50">
        <f t="shared" si="6"/>
        <v>0</v>
      </c>
      <c r="AP21" s="50">
        <f t="shared" si="7"/>
        <v>0</v>
      </c>
      <c r="AQ21" s="50">
        <f t="shared" si="8"/>
        <v>0</v>
      </c>
      <c r="AR21" s="50">
        <f t="shared" si="59"/>
        <v>117.334</v>
      </c>
      <c r="AS21" s="50">
        <f t="shared" si="9"/>
        <v>0</v>
      </c>
      <c r="AT21" s="50">
        <f t="shared" si="10"/>
        <v>0</v>
      </c>
      <c r="AU21" s="50">
        <f t="shared" si="24"/>
        <v>234.66800000000001</v>
      </c>
      <c r="AV21" s="50">
        <f t="shared" si="11"/>
        <v>0</v>
      </c>
      <c r="AW21" s="50">
        <f t="shared" si="25"/>
        <v>234.66800000000001</v>
      </c>
      <c r="AX21" s="50">
        <f t="shared" si="26"/>
        <v>0</v>
      </c>
      <c r="AY21" s="50">
        <f t="shared" si="12"/>
        <v>0</v>
      </c>
      <c r="BC21" s="50">
        <f t="shared" si="27"/>
        <v>2346.6800000000003</v>
      </c>
      <c r="BD21" s="50">
        <f t="shared" si="28"/>
        <v>0</v>
      </c>
      <c r="BE21" s="50">
        <f t="shared" si="29"/>
        <v>0</v>
      </c>
      <c r="BF21" s="50">
        <f t="shared" si="30"/>
        <v>0</v>
      </c>
      <c r="BG21" s="50">
        <f t="shared" si="31"/>
        <v>0</v>
      </c>
      <c r="BH21" s="50">
        <f>IF(P21,C21*L!P21,0)</f>
        <v>0</v>
      </c>
      <c r="BI21" s="50">
        <f t="shared" si="32"/>
        <v>0</v>
      </c>
      <c r="BJ21" s="50">
        <f t="shared" si="33"/>
        <v>0</v>
      </c>
      <c r="BK21" s="50">
        <f t="shared" si="34"/>
        <v>234.66800000000001</v>
      </c>
      <c r="BL21" s="50">
        <f t="shared" si="35"/>
        <v>234.66800000000001</v>
      </c>
      <c r="BM21" s="50">
        <f t="shared" si="36"/>
        <v>0</v>
      </c>
      <c r="BN21" s="50">
        <f t="shared" si="37"/>
        <v>0</v>
      </c>
      <c r="BO21" s="50">
        <f t="shared" si="38"/>
        <v>2816.0160000000005</v>
      </c>
      <c r="BQ21" s="50">
        <f t="shared" si="39"/>
        <v>0</v>
      </c>
      <c r="BR21" s="50">
        <f t="shared" si="40"/>
        <v>0</v>
      </c>
      <c r="BS21" s="50">
        <f t="shared" si="41"/>
        <v>0</v>
      </c>
      <c r="BT21" s="50">
        <f t="shared" si="42"/>
        <v>117.334</v>
      </c>
      <c r="BU21" s="50">
        <f t="shared" si="43"/>
        <v>0</v>
      </c>
      <c r="BV21" s="50">
        <f t="shared" si="44"/>
        <v>0</v>
      </c>
      <c r="BW21" s="50">
        <f t="shared" si="45"/>
        <v>0</v>
      </c>
      <c r="BX21" s="50">
        <f t="shared" si="46"/>
        <v>0</v>
      </c>
      <c r="BY21" s="50">
        <f t="shared" si="47"/>
        <v>117.334</v>
      </c>
      <c r="CC21" s="50">
        <f t="shared" si="61"/>
        <v>2816.0160000000005</v>
      </c>
      <c r="CD21" s="50">
        <f t="shared" si="13"/>
        <v>12229.555200000001</v>
      </c>
      <c r="CE21" s="50">
        <f t="shared" si="14"/>
        <v>1318.7798067199999</v>
      </c>
      <c r="CF21" s="50">
        <f t="shared" si="15"/>
        <v>0</v>
      </c>
      <c r="CG21" s="50">
        <f t="shared" si="16"/>
        <v>303.66640286315788</v>
      </c>
      <c r="CH21" s="50">
        <f t="shared" si="17"/>
        <v>0</v>
      </c>
      <c r="CJ21" s="50">
        <f t="shared" si="18"/>
        <v>2.7266400000000015</v>
      </c>
      <c r="CK21" s="50">
        <f t="shared" si="49"/>
        <v>9.2098125</v>
      </c>
      <c r="CL21" s="50">
        <f t="shared" si="50"/>
        <v>6.1398750000000009</v>
      </c>
      <c r="CM21" s="50">
        <f t="shared" si="51"/>
        <v>15.349687500000002</v>
      </c>
      <c r="CN21" s="50">
        <f t="shared" si="52"/>
        <v>27.629437500000002</v>
      </c>
      <c r="CO21" s="50">
        <f t="shared" si="53"/>
        <v>61.055452500000008</v>
      </c>
      <c r="CQ21" s="50">
        <f t="shared" si="54"/>
        <v>0</v>
      </c>
      <c r="CR21" s="50">
        <f t="shared" si="55"/>
        <v>0</v>
      </c>
      <c r="CS21" s="50">
        <f t="shared" si="56"/>
        <v>0</v>
      </c>
      <c r="CT21" s="50">
        <f t="shared" si="19"/>
        <v>0</v>
      </c>
      <c r="CU21" s="50">
        <f t="shared" si="57"/>
        <v>0</v>
      </c>
      <c r="CV21" s="50">
        <f t="shared" si="20"/>
        <v>0</v>
      </c>
      <c r="CW21" s="50">
        <f t="shared" si="58"/>
        <v>0</v>
      </c>
    </row>
    <row r="22" spans="1:101" s="19" customFormat="1" hidden="1" x14ac:dyDescent="0.2">
      <c r="A22" s="43" t="str">
        <f>IF(AND(L!I22&lt;&gt;"Baja",L!I22&lt;&gt;""),L!A22,"")</f>
        <v/>
      </c>
      <c r="B22" s="19" t="str">
        <f>IF(AND(L!I22&lt;&gt;"Baja",L!I22&lt;&gt;""),L!B22,"")</f>
        <v/>
      </c>
      <c r="C22" s="16">
        <f>IF(AND(L!I22&lt;&gt;"Baja",L!I22&lt;&gt;""),L!H22,0)</f>
        <v>0</v>
      </c>
      <c r="D22" s="17">
        <f>IF(AND(L!I22&lt;&gt;"Baja",L!I22&lt;&gt;""),1+(L!Q22+L!R22)/DA,0)</f>
        <v>0</v>
      </c>
      <c r="E22" s="16">
        <f t="shared" si="21"/>
        <v>0</v>
      </c>
      <c r="F22" s="16">
        <f t="shared" si="0"/>
        <v>0</v>
      </c>
      <c r="H22" s="18">
        <f>IF(A22&lt;&gt;"",IF(L!I22="Finiquito",L!J22-$N$1+1,DN),0)</f>
        <v>0</v>
      </c>
      <c r="I22" s="18"/>
      <c r="J22" s="18"/>
      <c r="K22" s="20">
        <f t="shared" si="1"/>
        <v>0</v>
      </c>
      <c r="M22" s="48"/>
      <c r="N22" s="48"/>
      <c r="O22" s="48"/>
      <c r="P22" s="49"/>
      <c r="Q22" s="48" t="str">
        <f>IF(P22,L!Q22,"")</f>
        <v/>
      </c>
      <c r="R22" s="48">
        <v>0.05</v>
      </c>
      <c r="S22" s="48">
        <v>0.1</v>
      </c>
      <c r="T22" s="48">
        <v>0.1</v>
      </c>
      <c r="U22" s="48"/>
      <c r="V22" s="48"/>
      <c r="W22" s="48"/>
      <c r="Y22" s="48"/>
      <c r="Z22" s="19" t="s">
        <v>51</v>
      </c>
      <c r="AA22" s="48"/>
      <c r="AB22" s="48"/>
      <c r="AC22" s="48"/>
      <c r="AD22" s="48"/>
      <c r="AE22" s="48"/>
      <c r="AI22" s="50">
        <f t="shared" si="2"/>
        <v>0</v>
      </c>
      <c r="AJ22" s="50">
        <f t="shared" si="3"/>
        <v>0</v>
      </c>
      <c r="AK22" s="50">
        <f t="shared" si="4"/>
        <v>0</v>
      </c>
      <c r="AL22" s="50">
        <f t="shared" si="22"/>
        <v>0</v>
      </c>
      <c r="AM22" s="50">
        <f t="shared" si="23"/>
        <v>0</v>
      </c>
      <c r="AN22" s="50">
        <f t="shared" si="5"/>
        <v>0</v>
      </c>
      <c r="AO22" s="50">
        <f t="shared" si="6"/>
        <v>0</v>
      </c>
      <c r="AP22" s="50">
        <f t="shared" si="7"/>
        <v>0</v>
      </c>
      <c r="AQ22" s="50">
        <f t="shared" si="8"/>
        <v>0</v>
      </c>
      <c r="AR22" s="50">
        <f t="shared" si="59"/>
        <v>0</v>
      </c>
      <c r="AS22" s="50">
        <f t="shared" si="9"/>
        <v>0</v>
      </c>
      <c r="AT22" s="50">
        <f t="shared" si="10"/>
        <v>0</v>
      </c>
      <c r="AU22" s="50">
        <f t="shared" si="24"/>
        <v>0</v>
      </c>
      <c r="AV22" s="50">
        <f t="shared" si="11"/>
        <v>0</v>
      </c>
      <c r="AW22" s="50">
        <f t="shared" si="25"/>
        <v>0</v>
      </c>
      <c r="AX22" s="50">
        <f t="shared" si="26"/>
        <v>0</v>
      </c>
      <c r="AY22" s="50">
        <f t="shared" si="12"/>
        <v>0</v>
      </c>
      <c r="BC22" s="50">
        <f t="shared" si="27"/>
        <v>0</v>
      </c>
      <c r="BD22" s="50">
        <f t="shared" si="28"/>
        <v>0</v>
      </c>
      <c r="BE22" s="50">
        <f t="shared" si="29"/>
        <v>0</v>
      </c>
      <c r="BF22" s="50">
        <f t="shared" si="30"/>
        <v>0</v>
      </c>
      <c r="BG22" s="50">
        <f t="shared" si="31"/>
        <v>0</v>
      </c>
      <c r="BH22" s="50">
        <f>IF(P22,C22*L!P22,0)</f>
        <v>0</v>
      </c>
      <c r="BI22" s="50">
        <f t="shared" si="32"/>
        <v>0</v>
      </c>
      <c r="BJ22" s="50">
        <f t="shared" si="33"/>
        <v>0</v>
      </c>
      <c r="BK22" s="50">
        <f t="shared" si="34"/>
        <v>0</v>
      </c>
      <c r="BL22" s="50">
        <f t="shared" si="35"/>
        <v>0</v>
      </c>
      <c r="BM22" s="50">
        <f t="shared" si="36"/>
        <v>0</v>
      </c>
      <c r="BN22" s="50">
        <f t="shared" si="37"/>
        <v>0</v>
      </c>
      <c r="BO22" s="50">
        <f t="shared" si="38"/>
        <v>0</v>
      </c>
      <c r="BQ22" s="50">
        <f t="shared" si="39"/>
        <v>0</v>
      </c>
      <c r="BR22" s="50">
        <f t="shared" si="40"/>
        <v>0</v>
      </c>
      <c r="BS22" s="50">
        <f t="shared" si="41"/>
        <v>0</v>
      </c>
      <c r="BT22" s="50">
        <f t="shared" si="42"/>
        <v>0</v>
      </c>
      <c r="BU22" s="50">
        <f t="shared" si="43"/>
        <v>0</v>
      </c>
      <c r="BV22" s="50">
        <f t="shared" si="44"/>
        <v>0</v>
      </c>
      <c r="BW22" s="50">
        <f t="shared" si="45"/>
        <v>0</v>
      </c>
      <c r="BX22" s="50">
        <f t="shared" si="46"/>
        <v>0</v>
      </c>
      <c r="BY22" s="50">
        <f t="shared" si="47"/>
        <v>0</v>
      </c>
      <c r="CC22" s="50">
        <f t="shared" si="61"/>
        <v>0</v>
      </c>
      <c r="CD22" s="50">
        <f t="shared" si="13"/>
        <v>0</v>
      </c>
      <c r="CE22" s="50">
        <f t="shared" si="14"/>
        <v>0</v>
      </c>
      <c r="CF22" s="50">
        <f t="shared" si="15"/>
        <v>0</v>
      </c>
      <c r="CG22" s="50">
        <f t="shared" si="16"/>
        <v>0</v>
      </c>
      <c r="CH22" s="50">
        <f t="shared" si="17"/>
        <v>0</v>
      </c>
      <c r="CJ22" s="50">
        <f t="shared" si="18"/>
        <v>0</v>
      </c>
      <c r="CK22" s="50">
        <f t="shared" si="49"/>
        <v>0</v>
      </c>
      <c r="CL22" s="50">
        <f t="shared" si="50"/>
        <v>0</v>
      </c>
      <c r="CM22" s="50">
        <f t="shared" si="51"/>
        <v>0</v>
      </c>
      <c r="CN22" s="50">
        <f t="shared" si="52"/>
        <v>0</v>
      </c>
      <c r="CO22" s="50">
        <f t="shared" si="53"/>
        <v>0</v>
      </c>
      <c r="CQ22" s="50">
        <f t="shared" si="54"/>
        <v>0</v>
      </c>
      <c r="CR22" s="50">
        <f t="shared" si="55"/>
        <v>0</v>
      </c>
      <c r="CS22" s="50">
        <f t="shared" si="56"/>
        <v>0</v>
      </c>
      <c r="CT22" s="50">
        <f t="shared" si="19"/>
        <v>0</v>
      </c>
      <c r="CU22" s="50">
        <f t="shared" si="57"/>
        <v>0</v>
      </c>
      <c r="CV22" s="50">
        <f t="shared" si="20"/>
        <v>0</v>
      </c>
      <c r="CW22" s="50">
        <f t="shared" si="58"/>
        <v>0</v>
      </c>
    </row>
    <row r="23" spans="1:101" s="19" customFormat="1" hidden="1" x14ac:dyDescent="0.2">
      <c r="A23" s="43" t="str">
        <f>IF(AND(L!I23&lt;&gt;"Baja",L!I23&lt;&gt;""),L!A23,"")</f>
        <v/>
      </c>
      <c r="B23" s="19" t="str">
        <f>IF(AND(L!I23&lt;&gt;"Baja",L!I23&lt;&gt;""),L!B23,"")</f>
        <v/>
      </c>
      <c r="C23" s="16">
        <f>IF(AND(L!I23&lt;&gt;"Baja",L!I23&lt;&gt;""),L!H23,0)</f>
        <v>0</v>
      </c>
      <c r="D23" s="17">
        <f>IF(AND(L!I23&lt;&gt;"Baja",L!I23&lt;&gt;""),1+(L!Q23+L!R23)/DA,0)</f>
        <v>0</v>
      </c>
      <c r="E23" s="16">
        <f t="shared" si="21"/>
        <v>0</v>
      </c>
      <c r="F23" s="16">
        <f t="shared" si="0"/>
        <v>0</v>
      </c>
      <c r="H23" s="18">
        <f>IF(A23&lt;&gt;"",IF(L!I23="Finiquito",L!J23-$N$1+1,DN),0)</f>
        <v>0</v>
      </c>
      <c r="I23" s="18"/>
      <c r="J23" s="18"/>
      <c r="K23" s="20">
        <f t="shared" si="1"/>
        <v>0</v>
      </c>
      <c r="M23" s="48"/>
      <c r="N23" s="48"/>
      <c r="O23" s="48"/>
      <c r="P23" s="49"/>
      <c r="Q23" s="48" t="str">
        <f>IF(P23,L!Q23,"")</f>
        <v/>
      </c>
      <c r="R23" s="48">
        <v>0.05</v>
      </c>
      <c r="S23" s="48">
        <v>0.1</v>
      </c>
      <c r="T23" s="48">
        <v>0.1</v>
      </c>
      <c r="U23" s="48"/>
      <c r="V23" s="48"/>
      <c r="W23" s="48"/>
      <c r="Y23" s="48"/>
      <c r="AA23" s="48"/>
      <c r="AB23" s="48"/>
      <c r="AC23" s="48"/>
      <c r="AD23" s="48"/>
      <c r="AE23" s="48"/>
      <c r="AI23" s="50">
        <f t="shared" si="2"/>
        <v>0</v>
      </c>
      <c r="AJ23" s="50">
        <f t="shared" si="3"/>
        <v>0</v>
      </c>
      <c r="AK23" s="50">
        <f t="shared" si="4"/>
        <v>0</v>
      </c>
      <c r="AL23" s="50">
        <f t="shared" si="22"/>
        <v>0</v>
      </c>
      <c r="AM23" s="50">
        <f t="shared" si="23"/>
        <v>0</v>
      </c>
      <c r="AN23" s="50">
        <f t="shared" si="5"/>
        <v>0</v>
      </c>
      <c r="AO23" s="50">
        <f t="shared" si="6"/>
        <v>0</v>
      </c>
      <c r="AP23" s="50">
        <f t="shared" si="7"/>
        <v>0</v>
      </c>
      <c r="AQ23" s="50">
        <f t="shared" si="8"/>
        <v>0</v>
      </c>
      <c r="AR23" s="50">
        <f t="shared" si="59"/>
        <v>0</v>
      </c>
      <c r="AS23" s="50">
        <f t="shared" si="9"/>
        <v>0</v>
      </c>
      <c r="AT23" s="50">
        <f t="shared" si="10"/>
        <v>0</v>
      </c>
      <c r="AU23" s="50">
        <f t="shared" si="24"/>
        <v>0</v>
      </c>
      <c r="AV23" s="50">
        <f t="shared" si="11"/>
        <v>0</v>
      </c>
      <c r="AW23" s="50">
        <f t="shared" si="25"/>
        <v>0</v>
      </c>
      <c r="AX23" s="50">
        <f t="shared" si="26"/>
        <v>0</v>
      </c>
      <c r="AY23" s="50">
        <f t="shared" si="12"/>
        <v>0</v>
      </c>
      <c r="BC23" s="50">
        <f t="shared" si="27"/>
        <v>0</v>
      </c>
      <c r="BD23" s="50">
        <f t="shared" si="28"/>
        <v>0</v>
      </c>
      <c r="BE23" s="50">
        <f t="shared" si="29"/>
        <v>0</v>
      </c>
      <c r="BF23" s="50">
        <f t="shared" si="30"/>
        <v>0</v>
      </c>
      <c r="BG23" s="50">
        <f t="shared" si="31"/>
        <v>0</v>
      </c>
      <c r="BH23" s="50">
        <f>IF(P23,C23*L!P23,0)</f>
        <v>0</v>
      </c>
      <c r="BI23" s="50">
        <f t="shared" si="32"/>
        <v>0</v>
      </c>
      <c r="BJ23" s="50">
        <f t="shared" si="33"/>
        <v>0</v>
      </c>
      <c r="BK23" s="50">
        <f t="shared" si="34"/>
        <v>0</v>
      </c>
      <c r="BL23" s="50">
        <f t="shared" si="35"/>
        <v>0</v>
      </c>
      <c r="BM23" s="50">
        <f t="shared" si="36"/>
        <v>0</v>
      </c>
      <c r="BN23" s="50">
        <f t="shared" si="37"/>
        <v>0</v>
      </c>
      <c r="BO23" s="50">
        <f t="shared" si="38"/>
        <v>0</v>
      </c>
      <c r="BQ23" s="50">
        <f t="shared" si="39"/>
        <v>0</v>
      </c>
      <c r="BR23" s="50">
        <f t="shared" si="40"/>
        <v>0</v>
      </c>
      <c r="BS23" s="50">
        <f t="shared" si="41"/>
        <v>0</v>
      </c>
      <c r="BT23" s="50">
        <f t="shared" si="42"/>
        <v>0</v>
      </c>
      <c r="BU23" s="50">
        <f t="shared" si="43"/>
        <v>0</v>
      </c>
      <c r="BV23" s="50">
        <f t="shared" si="44"/>
        <v>0</v>
      </c>
      <c r="BW23" s="50">
        <f t="shared" si="45"/>
        <v>0</v>
      </c>
      <c r="BX23" s="50">
        <f t="shared" si="46"/>
        <v>0</v>
      </c>
      <c r="BY23" s="50">
        <f t="shared" si="47"/>
        <v>0</v>
      </c>
      <c r="CC23" s="50">
        <f t="shared" si="61"/>
        <v>0</v>
      </c>
      <c r="CD23" s="50">
        <f t="shared" si="13"/>
        <v>0</v>
      </c>
      <c r="CE23" s="50">
        <f t="shared" si="14"/>
        <v>0</v>
      </c>
      <c r="CF23" s="50">
        <f t="shared" si="15"/>
        <v>0</v>
      </c>
      <c r="CG23" s="50">
        <f t="shared" si="16"/>
        <v>0</v>
      </c>
      <c r="CH23" s="50">
        <f t="shared" si="17"/>
        <v>0</v>
      </c>
      <c r="CJ23" s="50">
        <f t="shared" si="18"/>
        <v>0</v>
      </c>
      <c r="CK23" s="50">
        <f t="shared" si="49"/>
        <v>0</v>
      </c>
      <c r="CL23" s="50">
        <f t="shared" si="50"/>
        <v>0</v>
      </c>
      <c r="CM23" s="50">
        <f t="shared" si="51"/>
        <v>0</v>
      </c>
      <c r="CN23" s="50">
        <f t="shared" si="52"/>
        <v>0</v>
      </c>
      <c r="CO23" s="50">
        <f t="shared" si="53"/>
        <v>0</v>
      </c>
      <c r="CQ23" s="50">
        <f t="shared" si="54"/>
        <v>0</v>
      </c>
      <c r="CR23" s="50">
        <f t="shared" si="55"/>
        <v>0</v>
      </c>
      <c r="CS23" s="50">
        <f t="shared" si="56"/>
        <v>0</v>
      </c>
      <c r="CT23" s="50">
        <f t="shared" si="19"/>
        <v>0</v>
      </c>
      <c r="CU23" s="50">
        <f t="shared" si="57"/>
        <v>0</v>
      </c>
      <c r="CV23" s="50">
        <f t="shared" si="20"/>
        <v>0</v>
      </c>
      <c r="CW23" s="50">
        <f t="shared" si="58"/>
        <v>0</v>
      </c>
    </row>
    <row r="24" spans="1:101" s="19" customFormat="1" x14ac:dyDescent="0.2">
      <c r="A24" s="43">
        <f>IF(AND(L!I24&lt;&gt;"Baja",L!I24&lt;&gt;""),L!A24,"")</f>
        <v>21</v>
      </c>
      <c r="B24" s="19" t="str">
        <f>IF(AND(L!I24&lt;&gt;"Baja",L!I24&lt;&gt;""),L!B24,"")</f>
        <v>VAZQUEZ ALVARADO HILARIO</v>
      </c>
      <c r="C24" s="16">
        <f>IF(AND(L!I24&lt;&gt;"Baja",L!I24&lt;&gt;""),L!H24,0)</f>
        <v>189.19</v>
      </c>
      <c r="D24" s="17">
        <f>IF(AND(L!I24&lt;&gt;"Baja",L!I24&lt;&gt;""),1+(L!Q24+L!R24)/DA,0)</f>
        <v>1.0465753424657533</v>
      </c>
      <c r="E24" s="16">
        <f t="shared" si="21"/>
        <v>198</v>
      </c>
      <c r="F24" s="16">
        <f t="shared" si="0"/>
        <v>23.64875</v>
      </c>
      <c r="H24" s="18">
        <f>IF(A24&lt;&gt;"",IF(L!I24="Finiquito",L!J24-$N$1+1,DN),0)</f>
        <v>7</v>
      </c>
      <c r="I24" s="18"/>
      <c r="J24" s="18"/>
      <c r="K24" s="20">
        <f t="shared" si="1"/>
        <v>7</v>
      </c>
      <c r="M24" s="48"/>
      <c r="N24" s="48"/>
      <c r="O24" s="48"/>
      <c r="P24" s="49"/>
      <c r="Q24" s="48" t="str">
        <f>IF(P24,L!Q24,"")</f>
        <v/>
      </c>
      <c r="R24" s="48">
        <v>0.05</v>
      </c>
      <c r="S24" s="48">
        <v>0.1</v>
      </c>
      <c r="T24" s="48">
        <v>0.1</v>
      </c>
      <c r="U24" s="48"/>
      <c r="V24" s="48"/>
      <c r="W24" s="48"/>
      <c r="Y24" s="48"/>
      <c r="AA24" s="48"/>
      <c r="AB24" s="48">
        <v>200</v>
      </c>
      <c r="AC24" s="48"/>
      <c r="AD24" s="48"/>
      <c r="AE24" s="48"/>
      <c r="AI24" s="50">
        <f t="shared" si="2"/>
        <v>0</v>
      </c>
      <c r="AJ24" s="50">
        <f t="shared" si="3"/>
        <v>0</v>
      </c>
      <c r="AK24" s="50">
        <f t="shared" si="4"/>
        <v>0</v>
      </c>
      <c r="AL24" s="50">
        <f t="shared" si="22"/>
        <v>0</v>
      </c>
      <c r="AM24" s="50">
        <f t="shared" si="23"/>
        <v>0</v>
      </c>
      <c r="AN24" s="50">
        <f t="shared" si="5"/>
        <v>0</v>
      </c>
      <c r="AO24" s="50">
        <f t="shared" si="6"/>
        <v>0</v>
      </c>
      <c r="AP24" s="50">
        <f t="shared" si="7"/>
        <v>0</v>
      </c>
      <c r="AQ24" s="50">
        <f t="shared" si="8"/>
        <v>0</v>
      </c>
      <c r="AR24" s="50">
        <f t="shared" si="59"/>
        <v>66.216499999999996</v>
      </c>
      <c r="AS24" s="50">
        <f t="shared" si="9"/>
        <v>0</v>
      </c>
      <c r="AT24" s="50">
        <f t="shared" si="10"/>
        <v>0</v>
      </c>
      <c r="AU24" s="50">
        <f t="shared" si="24"/>
        <v>132.43299999999999</v>
      </c>
      <c r="AV24" s="50">
        <f t="shared" si="11"/>
        <v>0</v>
      </c>
      <c r="AW24" s="50">
        <f t="shared" si="25"/>
        <v>132.43299999999999</v>
      </c>
      <c r="AX24" s="50">
        <f t="shared" si="26"/>
        <v>0</v>
      </c>
      <c r="AY24" s="50">
        <f t="shared" si="12"/>
        <v>0</v>
      </c>
      <c r="BC24" s="50">
        <f t="shared" si="27"/>
        <v>1324.33</v>
      </c>
      <c r="BD24" s="50">
        <f t="shared" si="28"/>
        <v>0</v>
      </c>
      <c r="BE24" s="50">
        <f t="shared" si="29"/>
        <v>0</v>
      </c>
      <c r="BF24" s="50">
        <f t="shared" si="30"/>
        <v>0</v>
      </c>
      <c r="BG24" s="50">
        <f t="shared" si="31"/>
        <v>0</v>
      </c>
      <c r="BH24" s="50">
        <f>IF(P24,C24*L!P24,0)</f>
        <v>0</v>
      </c>
      <c r="BI24" s="50">
        <f t="shared" si="32"/>
        <v>0</v>
      </c>
      <c r="BJ24" s="50">
        <f t="shared" si="33"/>
        <v>0</v>
      </c>
      <c r="BK24" s="50">
        <f t="shared" si="34"/>
        <v>132.43299999999999</v>
      </c>
      <c r="BL24" s="50">
        <f t="shared" si="35"/>
        <v>132.43299999999999</v>
      </c>
      <c r="BM24" s="50">
        <f t="shared" si="36"/>
        <v>0</v>
      </c>
      <c r="BN24" s="50">
        <f t="shared" si="37"/>
        <v>0</v>
      </c>
      <c r="BO24" s="50">
        <f t="shared" si="38"/>
        <v>1589.1959999999999</v>
      </c>
      <c r="BQ24" s="50">
        <f t="shared" si="39"/>
        <v>0</v>
      </c>
      <c r="BR24" s="50">
        <f t="shared" si="40"/>
        <v>0</v>
      </c>
      <c r="BS24" s="50">
        <f t="shared" si="41"/>
        <v>0</v>
      </c>
      <c r="BT24" s="50">
        <f t="shared" si="42"/>
        <v>66.216499999999996</v>
      </c>
      <c r="BU24" s="50">
        <f t="shared" si="43"/>
        <v>0</v>
      </c>
      <c r="BV24" s="50">
        <f t="shared" si="44"/>
        <v>0</v>
      </c>
      <c r="BW24" s="50">
        <f t="shared" si="45"/>
        <v>0</v>
      </c>
      <c r="BX24" s="50">
        <f t="shared" si="46"/>
        <v>0</v>
      </c>
      <c r="BY24" s="50">
        <f t="shared" si="47"/>
        <v>66.216499999999996</v>
      </c>
      <c r="CC24" s="50">
        <f t="shared" si="61"/>
        <v>1589.1959999999999</v>
      </c>
      <c r="CD24" s="50">
        <f t="shared" si="13"/>
        <v>6901.6511999999993</v>
      </c>
      <c r="CE24" s="50">
        <f t="shared" si="14"/>
        <v>505.00206655999989</v>
      </c>
      <c r="CF24" s="50">
        <f t="shared" si="15"/>
        <v>253.54</v>
      </c>
      <c r="CG24" s="50">
        <f t="shared" si="16"/>
        <v>57.902449536842084</v>
      </c>
      <c r="CH24" s="50">
        <f t="shared" si="17"/>
        <v>-0.01</v>
      </c>
      <c r="CJ24" s="50">
        <f t="shared" si="18"/>
        <v>0</v>
      </c>
      <c r="CK24" s="50">
        <f t="shared" si="49"/>
        <v>5.1974999999999998</v>
      </c>
      <c r="CL24" s="50">
        <f t="shared" si="50"/>
        <v>3.4649999999999999</v>
      </c>
      <c r="CM24" s="50">
        <f t="shared" si="51"/>
        <v>8.6624999999999996</v>
      </c>
      <c r="CN24" s="50">
        <f t="shared" si="52"/>
        <v>15.592499999999999</v>
      </c>
      <c r="CO24" s="50">
        <f t="shared" si="53"/>
        <v>32.917499999999997</v>
      </c>
      <c r="CQ24" s="50">
        <f t="shared" si="54"/>
        <v>0</v>
      </c>
      <c r="CR24" s="50">
        <f t="shared" si="55"/>
        <v>0</v>
      </c>
      <c r="CS24" s="50">
        <f t="shared" si="56"/>
        <v>0</v>
      </c>
      <c r="CT24" s="50">
        <f t="shared" si="19"/>
        <v>0</v>
      </c>
      <c r="CU24" s="50">
        <f t="shared" si="57"/>
        <v>0</v>
      </c>
      <c r="CV24" s="50">
        <f t="shared" si="20"/>
        <v>0</v>
      </c>
      <c r="CW24" s="50">
        <f t="shared" si="58"/>
        <v>0</v>
      </c>
    </row>
    <row r="25" spans="1:101" s="19" customFormat="1" x14ac:dyDescent="0.2">
      <c r="K25" s="20"/>
    </row>
  </sheetData>
  <mergeCells count="45">
    <mergeCell ref="U2:U3"/>
    <mergeCell ref="V2:V3"/>
    <mergeCell ref="W2:W3"/>
    <mergeCell ref="O2:O3"/>
    <mergeCell ref="A2:F2"/>
    <mergeCell ref="L2:L3"/>
    <mergeCell ref="N2:N3"/>
    <mergeCell ref="S2:S3"/>
    <mergeCell ref="T2:T3"/>
    <mergeCell ref="P2:P3"/>
    <mergeCell ref="Q2:Q3"/>
    <mergeCell ref="R2:R3"/>
    <mergeCell ref="M2:M3"/>
    <mergeCell ref="G2:G3"/>
    <mergeCell ref="H2:K2"/>
    <mergeCell ref="AD2:AD3"/>
    <mergeCell ref="AF2:AF3"/>
    <mergeCell ref="AI2:AM2"/>
    <mergeCell ref="AN2:AO2"/>
    <mergeCell ref="X2:X3"/>
    <mergeCell ref="Y2:Y3"/>
    <mergeCell ref="Z2:AA2"/>
    <mergeCell ref="AB2:AB3"/>
    <mergeCell ref="AC2:AC3"/>
    <mergeCell ref="AE2:AE3"/>
    <mergeCell ref="AP2:AQ2"/>
    <mergeCell ref="AR2:AS2"/>
    <mergeCell ref="AT2:AU2"/>
    <mergeCell ref="AV2:AW2"/>
    <mergeCell ref="AZ2:AZ3"/>
    <mergeCell ref="AX2:AY2"/>
    <mergeCell ref="BC2:BO2"/>
    <mergeCell ref="BB2:BB3"/>
    <mergeCell ref="BP2:BP3"/>
    <mergeCell ref="BQ2:BY2"/>
    <mergeCell ref="BZ2:BZ3"/>
    <mergeCell ref="CQ2:CW2"/>
    <mergeCell ref="CQ3:CR3"/>
    <mergeCell ref="CS3:CT3"/>
    <mergeCell ref="CU3:CV3"/>
    <mergeCell ref="CB2:CB3"/>
    <mergeCell ref="CC2:CH2"/>
    <mergeCell ref="CI2:CI3"/>
    <mergeCell ref="CJ2:CO2"/>
    <mergeCell ref="CP2:CP3"/>
  </mergeCells>
  <dataValidations count="2">
    <dataValidation type="list" allowBlank="1" showInputMessage="1" showErrorMessage="1" sqref="C1">
      <formula1>Tipo</formula1>
    </dataValidation>
    <dataValidation type="list" allowBlank="1" showInputMessage="1" showErrorMessage="1" sqref="Z4:Z24">
      <formula1>"Cuota Fija,VSM,Porcentaje"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AC37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1.25" x14ac:dyDescent="0.2"/>
  <cols>
    <col min="1" max="1" width="4.85546875" style="2" bestFit="1" customWidth="1"/>
    <col min="2" max="2" width="30.7109375" style="2" customWidth="1"/>
    <col min="3" max="3" width="0.85546875" style="2" customWidth="1"/>
    <col min="4" max="4" width="11.42578125" style="2"/>
    <col min="5" max="10" width="0" style="2" hidden="1" customWidth="1"/>
    <col min="11" max="13" width="11.42578125" style="2"/>
    <col min="14" max="16" width="0" style="2" hidden="1" customWidth="1"/>
    <col min="17" max="17" width="11.42578125" style="2"/>
    <col min="18" max="18" width="0.85546875" style="2" customWidth="1"/>
    <col min="19" max="20" width="11.42578125" style="2"/>
    <col min="21" max="21" width="0" style="2" hidden="1" customWidth="1"/>
    <col min="22" max="23" width="11.42578125" style="2"/>
    <col min="24" max="24" width="0" style="2" hidden="1" customWidth="1"/>
    <col min="25" max="26" width="11.42578125" style="2"/>
    <col min="27" max="27" width="0.85546875" style="2" customWidth="1"/>
    <col min="28" max="16384" width="11.42578125" style="2"/>
  </cols>
  <sheetData>
    <row r="1" spans="1:28" x14ac:dyDescent="0.2">
      <c r="C1" s="39"/>
      <c r="R1" s="39"/>
      <c r="AA1" s="39"/>
    </row>
    <row r="2" spans="1:28" x14ac:dyDescent="0.2">
      <c r="A2" s="63" t="s">
        <v>179</v>
      </c>
      <c r="B2" s="63"/>
      <c r="C2" s="87"/>
      <c r="D2" s="63" t="s">
        <v>246</v>
      </c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87"/>
      <c r="S2" s="88" t="s">
        <v>253</v>
      </c>
      <c r="T2" s="88"/>
      <c r="U2" s="88"/>
      <c r="V2" s="88"/>
      <c r="W2" s="88"/>
      <c r="X2" s="88"/>
      <c r="Y2" s="88"/>
      <c r="Z2" s="88"/>
      <c r="AA2" s="87"/>
      <c r="AB2" s="89" t="s">
        <v>255</v>
      </c>
    </row>
    <row r="3" spans="1:28" x14ac:dyDescent="0.2">
      <c r="A3" s="14" t="s">
        <v>8</v>
      </c>
      <c r="B3" s="14" t="s">
        <v>1</v>
      </c>
      <c r="C3" s="87"/>
      <c r="D3" s="14" t="s">
        <v>161</v>
      </c>
      <c r="E3" s="14" t="s">
        <v>219</v>
      </c>
      <c r="F3" s="14" t="s">
        <v>247</v>
      </c>
      <c r="G3" s="14" t="s">
        <v>248</v>
      </c>
      <c r="H3" s="14" t="s">
        <v>170</v>
      </c>
      <c r="I3" s="14" t="s">
        <v>208</v>
      </c>
      <c r="J3" s="14" t="s">
        <v>245</v>
      </c>
      <c r="K3" s="14" t="s">
        <v>202</v>
      </c>
      <c r="L3" s="14" t="s">
        <v>203</v>
      </c>
      <c r="M3" s="14" t="s">
        <v>204</v>
      </c>
      <c r="N3" s="14" t="s">
        <v>223</v>
      </c>
      <c r="O3" s="14" t="s">
        <v>224</v>
      </c>
      <c r="P3" s="14" t="s">
        <v>229</v>
      </c>
      <c r="Q3" s="14" t="s">
        <v>225</v>
      </c>
      <c r="R3" s="87"/>
      <c r="S3" s="41" t="s">
        <v>235</v>
      </c>
      <c r="T3" s="41" t="s">
        <v>95</v>
      </c>
      <c r="U3" s="41" t="s">
        <v>251</v>
      </c>
      <c r="V3" s="41" t="s">
        <v>252</v>
      </c>
      <c r="W3" s="41" t="s">
        <v>249</v>
      </c>
      <c r="X3" s="41" t="s">
        <v>250</v>
      </c>
      <c r="Y3" s="41" t="s">
        <v>236</v>
      </c>
      <c r="Z3" s="41" t="s">
        <v>225</v>
      </c>
      <c r="AA3" s="87"/>
      <c r="AB3" s="89"/>
    </row>
    <row r="4" spans="1:28" s="47" customFormat="1" x14ac:dyDescent="0.2">
      <c r="A4" s="46">
        <f>IF(AND(L!I4&lt;&gt;"Baja",L!I4&lt;&gt;""),L!A4,"")</f>
        <v>1</v>
      </c>
      <c r="B4" s="47" t="str">
        <f>IF(AND(L!I4&lt;&gt;"Baja",L!I4&lt;&gt;""),L!B4,"")</f>
        <v>GARCIA RIVERA JESUS IGNACIO</v>
      </c>
      <c r="D4" s="40">
        <f>ROUND(Pre!BC4,2)</f>
        <v>2609.25</v>
      </c>
      <c r="E4" s="40">
        <f>ROUND(Pre!BD4,2)</f>
        <v>0</v>
      </c>
      <c r="F4" s="40">
        <f>ROUND(Pre!BE4+Pre!BQ4,2)</f>
        <v>0</v>
      </c>
      <c r="G4" s="40">
        <f>ROUND(Pre!BF4,2)</f>
        <v>0</v>
      </c>
      <c r="H4" s="40">
        <f>ROUND(Pre!BG4+Pre!BR4,2)</f>
        <v>0</v>
      </c>
      <c r="I4" s="40">
        <f>ROUND(Pre!BI4,2)</f>
        <v>0</v>
      </c>
      <c r="J4" s="40">
        <f>ROUND(Pre!BI4+Pre!BS4,2)</f>
        <v>0</v>
      </c>
      <c r="K4" s="40">
        <f>ROUND(Pre!BJ4+Pre!BT4,2)</f>
        <v>130.46</v>
      </c>
      <c r="L4" s="40">
        <f>ROUND(Pre!BK4+Pre!BU4,2)</f>
        <v>260.93</v>
      </c>
      <c r="M4" s="40">
        <f>ROUND(Pre!BL4+Pre!BV4,2)</f>
        <v>260.93</v>
      </c>
      <c r="N4" s="40">
        <f>ROUND(Pre!BM4+Pre!BW4,2)</f>
        <v>0</v>
      </c>
      <c r="O4" s="40">
        <f>ROUND(Pre!BN4,2)</f>
        <v>0</v>
      </c>
      <c r="P4" s="40">
        <f>ROUND(Pre!BX4,2)</f>
        <v>0</v>
      </c>
      <c r="Q4" s="40">
        <f>SUM(D4:P4)</f>
        <v>3261.5699999999997</v>
      </c>
      <c r="S4" s="40">
        <f>-ROUND(Pre!CG4,2)</f>
        <v>-370.97</v>
      </c>
      <c r="T4" s="40">
        <f>-ROUND(Pre!CO4,2)</f>
        <v>-68.98</v>
      </c>
      <c r="U4" s="40">
        <f>-ROUND(Pre!Y4,2)</f>
        <v>0</v>
      </c>
      <c r="V4" s="40">
        <f>-ROUND(Pre!CW4,2)</f>
        <v>-832.76</v>
      </c>
      <c r="W4" s="40">
        <f>-ROUND(Pre!AB4,2)</f>
        <v>0</v>
      </c>
      <c r="X4" s="40">
        <f>-ROUND(Pre!AC4,2)</f>
        <v>0</v>
      </c>
      <c r="Y4" s="40">
        <f>-ROUND(Pre!CH4,2)</f>
        <v>0</v>
      </c>
      <c r="Z4" s="40">
        <f>SUM(S4:Y4)</f>
        <v>-1272.71</v>
      </c>
      <c r="AB4" s="40">
        <f>Q4+Z4</f>
        <v>1988.8599999999997</v>
      </c>
    </row>
    <row r="5" spans="1:28" s="47" customFormat="1" x14ac:dyDescent="0.2">
      <c r="A5" s="46">
        <f>IF(AND(L!I5&lt;&gt;"Baja",L!I5&lt;&gt;""),L!A5,"")</f>
        <v>2</v>
      </c>
      <c r="B5" s="47" t="str">
        <f>IF(AND(L!I5&lt;&gt;"Baja",L!I5&lt;&gt;""),L!B5,"")</f>
        <v>ROBLERO DE LEON AZAEL</v>
      </c>
      <c r="D5" s="40">
        <f>ROUND(Pre!BC5,2)</f>
        <v>2346.6799999999998</v>
      </c>
      <c r="E5" s="40">
        <f>ROUND(Pre!BD5,2)</f>
        <v>0</v>
      </c>
      <c r="F5" s="40">
        <f>ROUND(Pre!BE5+Pre!BQ5,2)</f>
        <v>0</v>
      </c>
      <c r="G5" s="40">
        <f>ROUND(Pre!BF5,2)</f>
        <v>0</v>
      </c>
      <c r="H5" s="40">
        <f>ROUND(Pre!BG5+Pre!BR5,2)</f>
        <v>0</v>
      </c>
      <c r="I5" s="40">
        <f>ROUND(Pre!BI5,2)</f>
        <v>0</v>
      </c>
      <c r="J5" s="40">
        <f>ROUND(Pre!BI5+Pre!BS5,2)</f>
        <v>0</v>
      </c>
      <c r="K5" s="40">
        <f>ROUND(Pre!BJ5+Pre!BT5,2)</f>
        <v>117.33</v>
      </c>
      <c r="L5" s="40">
        <f>ROUND(Pre!BK5+Pre!BU5,2)</f>
        <v>234.67</v>
      </c>
      <c r="M5" s="40">
        <f>ROUND(Pre!BL5+Pre!BV5,2)</f>
        <v>234.67</v>
      </c>
      <c r="N5" s="40">
        <f>ROUND(Pre!BM5+Pre!BW5,2)</f>
        <v>0</v>
      </c>
      <c r="O5" s="40">
        <f>ROUND(Pre!BN5,2)</f>
        <v>0</v>
      </c>
      <c r="P5" s="40">
        <f>ROUND(Pre!BX5,2)</f>
        <v>0</v>
      </c>
      <c r="Q5" s="40">
        <f t="shared" ref="Q5:Q24" si="0">SUM(D5:P5)</f>
        <v>2933.35</v>
      </c>
      <c r="S5" s="40">
        <f>-ROUND(Pre!CG5,2)</f>
        <v>-303.67</v>
      </c>
      <c r="T5" s="40">
        <f>-ROUND(Pre!CO5,2)</f>
        <v>-61.41</v>
      </c>
      <c r="U5" s="40">
        <f>-ROUND(Pre!Y5,2)</f>
        <v>0</v>
      </c>
      <c r="V5" s="40">
        <f>-ROUND(Pre!CW5,2)</f>
        <v>0</v>
      </c>
      <c r="W5" s="40">
        <f>-ROUND(Pre!AB5,2)</f>
        <v>-250</v>
      </c>
      <c r="X5" s="40">
        <f>-ROUND(Pre!AC5,2)</f>
        <v>0</v>
      </c>
      <c r="Y5" s="40">
        <f>-ROUND(Pre!CH5,2)</f>
        <v>0</v>
      </c>
      <c r="Z5" s="40">
        <f t="shared" ref="Z5:Z24" si="1">SUM(S5:Y5)</f>
        <v>-615.08000000000004</v>
      </c>
      <c r="AB5" s="40">
        <f t="shared" ref="AB5:AB24" si="2">Q5+Z5</f>
        <v>2318.27</v>
      </c>
    </row>
    <row r="6" spans="1:28" s="47" customFormat="1" x14ac:dyDescent="0.2">
      <c r="A6" s="46">
        <f>IF(AND(L!I6&lt;&gt;"Baja",L!I6&lt;&gt;""),L!A6,"")</f>
        <v>3</v>
      </c>
      <c r="B6" s="47" t="str">
        <f>IF(AND(L!I6&lt;&gt;"Baja",L!I6&lt;&gt;""),L!B6,"")</f>
        <v>ESCOBAR PERALTA PEDRO MATEO</v>
      </c>
      <c r="D6" s="40">
        <f>ROUND(Pre!BC6,2)</f>
        <v>1838.62</v>
      </c>
      <c r="E6" s="40">
        <f>ROUND(Pre!BD6,2)</f>
        <v>0</v>
      </c>
      <c r="F6" s="40">
        <f>ROUND(Pre!BE6+Pre!BQ6,2)</f>
        <v>0</v>
      </c>
      <c r="G6" s="40">
        <f>ROUND(Pre!BF6,2)</f>
        <v>0</v>
      </c>
      <c r="H6" s="40">
        <f>ROUND(Pre!BG6+Pre!BR6,2)</f>
        <v>0</v>
      </c>
      <c r="I6" s="40">
        <f>ROUND(Pre!BI6,2)</f>
        <v>0</v>
      </c>
      <c r="J6" s="40">
        <f>ROUND(Pre!BI6+Pre!BS6,2)</f>
        <v>0</v>
      </c>
      <c r="K6" s="40">
        <f>ROUND(Pre!BJ6+Pre!BT6,2)</f>
        <v>91.93</v>
      </c>
      <c r="L6" s="40">
        <f>ROUND(Pre!BK6+Pre!BU6,2)</f>
        <v>183.86</v>
      </c>
      <c r="M6" s="40">
        <f>ROUND(Pre!BL6+Pre!BV6,2)</f>
        <v>183.86</v>
      </c>
      <c r="N6" s="40">
        <f>ROUND(Pre!BM6+Pre!BW6,2)</f>
        <v>0</v>
      </c>
      <c r="O6" s="40">
        <f>ROUND(Pre!BN6,2)</f>
        <v>0</v>
      </c>
      <c r="P6" s="40">
        <f>ROUND(Pre!BX6,2)</f>
        <v>0</v>
      </c>
      <c r="Q6" s="40">
        <f t="shared" si="0"/>
        <v>2298.27</v>
      </c>
      <c r="S6" s="40">
        <f>-ROUND(Pre!CG6,2)</f>
        <v>-194.66</v>
      </c>
      <c r="T6" s="40">
        <f>-ROUND(Pre!CO6,2)</f>
        <v>-46.58</v>
      </c>
      <c r="U6" s="40">
        <f>-ROUND(Pre!Y6,2)</f>
        <v>0</v>
      </c>
      <c r="V6" s="40">
        <f>-ROUND(Pre!CW6,2)</f>
        <v>0</v>
      </c>
      <c r="W6" s="40">
        <f>-ROUND(Pre!AB6,2)</f>
        <v>0</v>
      </c>
      <c r="X6" s="40">
        <f>-ROUND(Pre!AC6,2)</f>
        <v>0</v>
      </c>
      <c r="Y6" s="40">
        <f>-ROUND(Pre!CH6,2)</f>
        <v>0</v>
      </c>
      <c r="Z6" s="40">
        <f t="shared" si="1"/>
        <v>-241.24</v>
      </c>
      <c r="AB6" s="40">
        <f t="shared" si="2"/>
        <v>2057.0299999999997</v>
      </c>
    </row>
    <row r="7" spans="1:28" s="47" customFormat="1" hidden="1" x14ac:dyDescent="0.2">
      <c r="A7" s="46" t="str">
        <f>IF(AND(L!I7&lt;&gt;"Baja",L!I7&lt;&gt;""),L!A7,"")</f>
        <v/>
      </c>
      <c r="B7" s="47" t="str">
        <f>IF(AND(L!I7&lt;&gt;"Baja",L!I7&lt;&gt;""),L!B7,"")</f>
        <v/>
      </c>
      <c r="D7" s="40">
        <f>ROUND(Pre!BC7,2)</f>
        <v>0</v>
      </c>
      <c r="E7" s="40">
        <f>ROUND(Pre!BD7,2)</f>
        <v>0</v>
      </c>
      <c r="F7" s="40">
        <f>ROUND(Pre!BE7+Pre!BQ7,2)</f>
        <v>0</v>
      </c>
      <c r="G7" s="40">
        <f>ROUND(Pre!BF7,2)</f>
        <v>0</v>
      </c>
      <c r="H7" s="40">
        <f>ROUND(Pre!BG7+Pre!BR7,2)</f>
        <v>0</v>
      </c>
      <c r="I7" s="40">
        <f>ROUND(Pre!BI7,2)</f>
        <v>0</v>
      </c>
      <c r="J7" s="40">
        <f>ROUND(Pre!BI7+Pre!BS7,2)</f>
        <v>0</v>
      </c>
      <c r="K7" s="40">
        <f>ROUND(Pre!BJ7+Pre!BT7,2)</f>
        <v>0</v>
      </c>
      <c r="L7" s="40">
        <f>ROUND(Pre!BK7+Pre!BU7,2)</f>
        <v>0</v>
      </c>
      <c r="M7" s="40">
        <f>ROUND(Pre!BL7+Pre!BV7,2)</f>
        <v>0</v>
      </c>
      <c r="N7" s="40">
        <f>ROUND(Pre!BM7+Pre!BW7,2)</f>
        <v>0</v>
      </c>
      <c r="O7" s="40">
        <f>ROUND(Pre!BN7,2)</f>
        <v>0</v>
      </c>
      <c r="P7" s="40">
        <f>ROUND(Pre!BX7,2)</f>
        <v>0</v>
      </c>
      <c r="Q7" s="40">
        <f t="shared" si="0"/>
        <v>0</v>
      </c>
      <c r="S7" s="40">
        <f>-ROUND(Pre!CG7,2)</f>
        <v>0</v>
      </c>
      <c r="T7" s="40">
        <f>-ROUND(Pre!CO7,2)</f>
        <v>0</v>
      </c>
      <c r="U7" s="40">
        <f>-ROUND(Pre!Y7,2)</f>
        <v>0</v>
      </c>
      <c r="V7" s="40">
        <f>-ROUND(Pre!CW7,2)</f>
        <v>0</v>
      </c>
      <c r="W7" s="40">
        <f>-ROUND(Pre!AB7,2)</f>
        <v>0</v>
      </c>
      <c r="X7" s="40">
        <f>-ROUND(Pre!AC7,2)</f>
        <v>0</v>
      </c>
      <c r="Y7" s="40">
        <f>-ROUND(Pre!CH7,2)</f>
        <v>0</v>
      </c>
      <c r="Z7" s="40">
        <f t="shared" si="1"/>
        <v>0</v>
      </c>
      <c r="AB7" s="40">
        <f t="shared" si="2"/>
        <v>0</v>
      </c>
    </row>
    <row r="8" spans="1:28" s="47" customFormat="1" x14ac:dyDescent="0.2">
      <c r="A8" s="46">
        <f>IF(AND(L!I8&lt;&gt;"Baja",L!I8&lt;&gt;""),L!A8,"")</f>
        <v>5</v>
      </c>
      <c r="B8" s="47" t="str">
        <f>IF(AND(L!I8&lt;&gt;"Baja",L!I8&lt;&gt;""),L!B8,"")</f>
        <v>FLORES GONZALEZ BENITO</v>
      </c>
      <c r="D8" s="40">
        <f>ROUND(Pre!BC8,2)</f>
        <v>1381.87</v>
      </c>
      <c r="E8" s="40">
        <f>ROUND(Pre!BD8,2)</f>
        <v>0</v>
      </c>
      <c r="F8" s="40">
        <f>ROUND(Pre!BE8+Pre!BQ8,2)</f>
        <v>0</v>
      </c>
      <c r="G8" s="40">
        <f>ROUND(Pre!BF8,2)</f>
        <v>0</v>
      </c>
      <c r="H8" s="40">
        <f>ROUND(Pre!BG8+Pre!BR8,2)</f>
        <v>0</v>
      </c>
      <c r="I8" s="40">
        <f>ROUND(Pre!BI8,2)</f>
        <v>0</v>
      </c>
      <c r="J8" s="40">
        <f>ROUND(Pre!BI8+Pre!BS8,2)</f>
        <v>0</v>
      </c>
      <c r="K8" s="40">
        <f>ROUND(Pre!BJ8+Pre!BT8,2)</f>
        <v>69.09</v>
      </c>
      <c r="L8" s="40">
        <f>ROUND(Pre!BK8+Pre!BU8,2)</f>
        <v>138.19</v>
      </c>
      <c r="M8" s="40">
        <f>ROUND(Pre!BL8+Pre!BV8,2)</f>
        <v>138.19</v>
      </c>
      <c r="N8" s="40">
        <f>ROUND(Pre!BM8+Pre!BW8,2)</f>
        <v>0</v>
      </c>
      <c r="O8" s="40">
        <f>ROUND(Pre!BN8,2)</f>
        <v>0</v>
      </c>
      <c r="P8" s="40">
        <f>ROUND(Pre!BX8,2)</f>
        <v>0</v>
      </c>
      <c r="Q8" s="40">
        <f t="shared" si="0"/>
        <v>1727.34</v>
      </c>
      <c r="S8" s="40">
        <f>-ROUND(Pre!CG8,2)</f>
        <v>-73.69</v>
      </c>
      <c r="T8" s="40">
        <f>-ROUND(Pre!CO8,2)</f>
        <v>-34.479999999999997</v>
      </c>
      <c r="U8" s="40">
        <f>-ROUND(Pre!Y8,2)</f>
        <v>0</v>
      </c>
      <c r="V8" s="40">
        <f>-ROUND(Pre!CW8,2)</f>
        <v>0</v>
      </c>
      <c r="W8" s="40">
        <f>-ROUND(Pre!AB8,2)</f>
        <v>0</v>
      </c>
      <c r="X8" s="40">
        <f>-ROUND(Pre!AC8,2)</f>
        <v>0</v>
      </c>
      <c r="Y8" s="40">
        <f>-ROUND(Pre!CH8,2)</f>
        <v>0.01</v>
      </c>
      <c r="Z8" s="40">
        <f t="shared" si="1"/>
        <v>-108.15999999999998</v>
      </c>
      <c r="AB8" s="40">
        <f t="shared" si="2"/>
        <v>1619.1799999999998</v>
      </c>
    </row>
    <row r="9" spans="1:28" s="47" customFormat="1" x14ac:dyDescent="0.2">
      <c r="A9" s="46">
        <f>IF(AND(L!I9&lt;&gt;"Baja",L!I9&lt;&gt;""),L!A9,"")</f>
        <v>6</v>
      </c>
      <c r="B9" s="47" t="str">
        <f>IF(AND(L!I9&lt;&gt;"Baja",L!I9&lt;&gt;""),L!B9,"")</f>
        <v>ALQUEZADA MORAN MIGUEL</v>
      </c>
      <c r="D9" s="40">
        <f>ROUND(Pre!BC9,2)</f>
        <v>2346.6799999999998</v>
      </c>
      <c r="E9" s="40">
        <f>ROUND(Pre!BD9,2)</f>
        <v>0</v>
      </c>
      <c r="F9" s="40">
        <f>ROUND(Pre!BE9+Pre!BQ9,2)</f>
        <v>0</v>
      </c>
      <c r="G9" s="40">
        <f>ROUND(Pre!BF9,2)</f>
        <v>0</v>
      </c>
      <c r="H9" s="40">
        <f>ROUND(Pre!BG9+Pre!BR9,2)</f>
        <v>0</v>
      </c>
      <c r="I9" s="40">
        <f>ROUND(Pre!BI9,2)</f>
        <v>0</v>
      </c>
      <c r="J9" s="40">
        <f>ROUND(Pre!BI9+Pre!BS9,2)</f>
        <v>0</v>
      </c>
      <c r="K9" s="40">
        <f>ROUND(Pre!BJ9+Pre!BT9,2)</f>
        <v>117.33</v>
      </c>
      <c r="L9" s="40">
        <f>ROUND(Pre!BK9+Pre!BU9,2)</f>
        <v>234.67</v>
      </c>
      <c r="M9" s="40">
        <f>ROUND(Pre!BL9+Pre!BV9,2)</f>
        <v>234.67</v>
      </c>
      <c r="N9" s="40">
        <f>ROUND(Pre!BM9+Pre!BW9,2)</f>
        <v>0</v>
      </c>
      <c r="O9" s="40">
        <f>ROUND(Pre!BN9,2)</f>
        <v>0</v>
      </c>
      <c r="P9" s="40">
        <f>ROUND(Pre!BX9,2)</f>
        <v>0</v>
      </c>
      <c r="Q9" s="40">
        <f t="shared" si="0"/>
        <v>2933.35</v>
      </c>
      <c r="S9" s="40">
        <f>-ROUND(Pre!CG9,2)</f>
        <v>-303.67</v>
      </c>
      <c r="T9" s="40">
        <f>-ROUND(Pre!CO9,2)</f>
        <v>-61.32</v>
      </c>
      <c r="U9" s="40">
        <f>-ROUND(Pre!Y9,2)</f>
        <v>0</v>
      </c>
      <c r="V9" s="40">
        <f>-ROUND(Pre!CW9,2)</f>
        <v>0</v>
      </c>
      <c r="W9" s="40">
        <f>-ROUND(Pre!AB9,2)</f>
        <v>0</v>
      </c>
      <c r="X9" s="40">
        <f>-ROUND(Pre!AC9,2)</f>
        <v>0</v>
      </c>
      <c r="Y9" s="40">
        <f>-ROUND(Pre!CH9,2)</f>
        <v>0</v>
      </c>
      <c r="Z9" s="40">
        <f t="shared" si="1"/>
        <v>-364.99</v>
      </c>
      <c r="AB9" s="40">
        <f t="shared" si="2"/>
        <v>2568.3599999999997</v>
      </c>
    </row>
    <row r="10" spans="1:28" s="47" customFormat="1" hidden="1" x14ac:dyDescent="0.2">
      <c r="A10" s="46" t="str">
        <f>IF(AND(L!I10&lt;&gt;"Baja",L!I10&lt;&gt;""),L!A10,"")</f>
        <v/>
      </c>
      <c r="B10" s="47" t="str">
        <f>IF(AND(L!I10&lt;&gt;"Baja",L!I10&lt;&gt;""),L!B10,"")</f>
        <v/>
      </c>
      <c r="D10" s="40">
        <f>ROUND(Pre!BC10,2)</f>
        <v>0</v>
      </c>
      <c r="E10" s="40">
        <f>ROUND(Pre!BD10,2)</f>
        <v>0</v>
      </c>
      <c r="F10" s="40">
        <f>ROUND(Pre!BE10+Pre!BQ10,2)</f>
        <v>0</v>
      </c>
      <c r="G10" s="40">
        <f>ROUND(Pre!BF10,2)</f>
        <v>0</v>
      </c>
      <c r="H10" s="40">
        <f>ROUND(Pre!BG10+Pre!BR10,2)</f>
        <v>0</v>
      </c>
      <c r="I10" s="40">
        <f>ROUND(Pre!BI10,2)</f>
        <v>0</v>
      </c>
      <c r="J10" s="40">
        <f>ROUND(Pre!BI10+Pre!BS10,2)</f>
        <v>0</v>
      </c>
      <c r="K10" s="40">
        <f>ROUND(Pre!BJ10+Pre!BT10,2)</f>
        <v>0</v>
      </c>
      <c r="L10" s="40">
        <f>ROUND(Pre!BK10+Pre!BU10,2)</f>
        <v>0</v>
      </c>
      <c r="M10" s="40">
        <f>ROUND(Pre!BL10+Pre!BV10,2)</f>
        <v>0</v>
      </c>
      <c r="N10" s="40">
        <f>ROUND(Pre!BM10+Pre!BW10,2)</f>
        <v>0</v>
      </c>
      <c r="O10" s="40">
        <f>ROUND(Pre!BN10,2)</f>
        <v>0</v>
      </c>
      <c r="P10" s="40">
        <f>ROUND(Pre!BX10,2)</f>
        <v>0</v>
      </c>
      <c r="Q10" s="40">
        <f t="shared" si="0"/>
        <v>0</v>
      </c>
      <c r="S10" s="40">
        <f>-ROUND(Pre!CG10,2)</f>
        <v>0</v>
      </c>
      <c r="T10" s="40">
        <f>-ROUND(Pre!CO10,2)</f>
        <v>0</v>
      </c>
      <c r="U10" s="40">
        <f>-ROUND(Pre!Y10,2)</f>
        <v>0</v>
      </c>
      <c r="V10" s="40">
        <f>-ROUND(Pre!CW10,2)</f>
        <v>0</v>
      </c>
      <c r="W10" s="40">
        <f>-ROUND(Pre!AB10,2)</f>
        <v>0</v>
      </c>
      <c r="X10" s="40">
        <f>-ROUND(Pre!AC10,2)</f>
        <v>0</v>
      </c>
      <c r="Y10" s="40">
        <f>-ROUND(Pre!CH10,2)</f>
        <v>0</v>
      </c>
      <c r="Z10" s="40">
        <f t="shared" si="1"/>
        <v>0</v>
      </c>
      <c r="AB10" s="40">
        <f t="shared" si="2"/>
        <v>0</v>
      </c>
    </row>
    <row r="11" spans="1:28" s="47" customFormat="1" x14ac:dyDescent="0.2">
      <c r="A11" s="46">
        <f>IF(AND(L!I11&lt;&gt;"Baja",L!I11&lt;&gt;""),L!A11,"")</f>
        <v>8</v>
      </c>
      <c r="B11" s="47" t="str">
        <f>IF(AND(L!I11&lt;&gt;"Baja",L!I11&lt;&gt;""),L!B11,"")</f>
        <v>CRUZ PASTRANA JOSE CARMEN</v>
      </c>
      <c r="D11" s="40">
        <f>ROUND(Pre!BC11,2)</f>
        <v>1324.33</v>
      </c>
      <c r="E11" s="40">
        <f>ROUND(Pre!BD11,2)</f>
        <v>0</v>
      </c>
      <c r="F11" s="40">
        <f>ROUND(Pre!BE11+Pre!BQ11,2)</f>
        <v>0</v>
      </c>
      <c r="G11" s="40">
        <f>ROUND(Pre!BF11,2)</f>
        <v>0</v>
      </c>
      <c r="H11" s="40">
        <f>ROUND(Pre!BG11+Pre!BR11,2)</f>
        <v>0</v>
      </c>
      <c r="I11" s="40">
        <f>ROUND(Pre!BI11,2)</f>
        <v>0</v>
      </c>
      <c r="J11" s="40">
        <f>ROUND(Pre!BI11+Pre!BS11,2)</f>
        <v>0</v>
      </c>
      <c r="K11" s="40">
        <f>ROUND(Pre!BJ11+Pre!BT11,2)</f>
        <v>66.22</v>
      </c>
      <c r="L11" s="40">
        <f>ROUND(Pre!BK11+Pre!BU11,2)</f>
        <v>132.43</v>
      </c>
      <c r="M11" s="40">
        <f>ROUND(Pre!BL11+Pre!BV11,2)</f>
        <v>132.43</v>
      </c>
      <c r="N11" s="40">
        <f>ROUND(Pre!BM11+Pre!BW11,2)</f>
        <v>0</v>
      </c>
      <c r="O11" s="40">
        <f>ROUND(Pre!BN11,2)</f>
        <v>0</v>
      </c>
      <c r="P11" s="40">
        <f>ROUND(Pre!BX11,2)</f>
        <v>0</v>
      </c>
      <c r="Q11" s="40">
        <f t="shared" si="0"/>
        <v>1655.41</v>
      </c>
      <c r="S11" s="40">
        <f>-ROUND(Pre!CG11,2)</f>
        <v>-57.9</v>
      </c>
      <c r="T11" s="40">
        <f>-ROUND(Pre!CO11,2)</f>
        <v>-33.049999999999997</v>
      </c>
      <c r="U11" s="40">
        <f>-ROUND(Pre!Y11,2)</f>
        <v>0</v>
      </c>
      <c r="V11" s="40">
        <f>-ROUND(Pre!CW11,2)</f>
        <v>0</v>
      </c>
      <c r="W11" s="40">
        <f>-ROUND(Pre!AB11,2)</f>
        <v>0</v>
      </c>
      <c r="X11" s="40">
        <f>-ROUND(Pre!AC11,2)</f>
        <v>0</v>
      </c>
      <c r="Y11" s="40">
        <f>-ROUND(Pre!CH11,2)</f>
        <v>0.01</v>
      </c>
      <c r="Z11" s="40">
        <f t="shared" si="1"/>
        <v>-90.939999999999984</v>
      </c>
      <c r="AB11" s="40">
        <f t="shared" si="2"/>
        <v>1564.47</v>
      </c>
    </row>
    <row r="12" spans="1:28" s="47" customFormat="1" hidden="1" x14ac:dyDescent="0.2">
      <c r="A12" s="46" t="str">
        <f>IF(AND(L!I12&lt;&gt;"Baja",L!I12&lt;&gt;""),L!A12,"")</f>
        <v/>
      </c>
      <c r="B12" s="47" t="str">
        <f>IF(AND(L!I12&lt;&gt;"Baja",L!I12&lt;&gt;""),L!B12,"")</f>
        <v/>
      </c>
      <c r="D12" s="40">
        <f>ROUND(Pre!BC12,2)</f>
        <v>0</v>
      </c>
      <c r="E12" s="40">
        <f>ROUND(Pre!BD12,2)</f>
        <v>0</v>
      </c>
      <c r="F12" s="40">
        <f>ROUND(Pre!BE12+Pre!BQ12,2)</f>
        <v>0</v>
      </c>
      <c r="G12" s="40">
        <f>ROUND(Pre!BF12,2)</f>
        <v>0</v>
      </c>
      <c r="H12" s="40">
        <f>ROUND(Pre!BG12+Pre!BR12,2)</f>
        <v>0</v>
      </c>
      <c r="I12" s="40">
        <f>ROUND(Pre!BI12,2)</f>
        <v>0</v>
      </c>
      <c r="J12" s="40">
        <f>ROUND(Pre!BI12+Pre!BS12,2)</f>
        <v>0</v>
      </c>
      <c r="K12" s="40">
        <f>ROUND(Pre!BJ12+Pre!BT12,2)</f>
        <v>0</v>
      </c>
      <c r="L12" s="40">
        <f>ROUND(Pre!BK12+Pre!BU12,2)</f>
        <v>0</v>
      </c>
      <c r="M12" s="40">
        <f>ROUND(Pre!BL12+Pre!BV12,2)</f>
        <v>0</v>
      </c>
      <c r="N12" s="40">
        <f>ROUND(Pre!BM12+Pre!BW12,2)</f>
        <v>0</v>
      </c>
      <c r="O12" s="40">
        <f>ROUND(Pre!BN12,2)</f>
        <v>0</v>
      </c>
      <c r="P12" s="40">
        <f>ROUND(Pre!BX12,2)</f>
        <v>0</v>
      </c>
      <c r="Q12" s="40">
        <f t="shared" si="0"/>
        <v>0</v>
      </c>
      <c r="S12" s="40">
        <f>-ROUND(Pre!CG12,2)</f>
        <v>0</v>
      </c>
      <c r="T12" s="40">
        <f>-ROUND(Pre!CO12,2)</f>
        <v>0</v>
      </c>
      <c r="U12" s="40">
        <f>-ROUND(Pre!Y12,2)</f>
        <v>0</v>
      </c>
      <c r="V12" s="40">
        <f>-ROUND(Pre!CW12,2)</f>
        <v>0</v>
      </c>
      <c r="W12" s="40">
        <f>-ROUND(Pre!AB12,2)</f>
        <v>0</v>
      </c>
      <c r="X12" s="40">
        <f>-ROUND(Pre!AC12,2)</f>
        <v>0</v>
      </c>
      <c r="Y12" s="40">
        <f>-ROUND(Pre!CH12,2)</f>
        <v>0</v>
      </c>
      <c r="Z12" s="40">
        <f t="shared" si="1"/>
        <v>0</v>
      </c>
      <c r="AB12" s="40">
        <f t="shared" si="2"/>
        <v>0</v>
      </c>
    </row>
    <row r="13" spans="1:28" s="47" customFormat="1" hidden="1" x14ac:dyDescent="0.2">
      <c r="A13" s="46" t="str">
        <f>IF(AND(L!I13&lt;&gt;"Baja",L!I13&lt;&gt;""),L!A13,"")</f>
        <v/>
      </c>
      <c r="B13" s="47" t="str">
        <f>IF(AND(L!I13&lt;&gt;"Baja",L!I13&lt;&gt;""),L!B13,"")</f>
        <v/>
      </c>
      <c r="D13" s="40">
        <f>ROUND(Pre!BC13,2)</f>
        <v>0</v>
      </c>
      <c r="E13" s="40">
        <f>ROUND(Pre!BD13,2)</f>
        <v>0</v>
      </c>
      <c r="F13" s="40">
        <f>ROUND(Pre!BE13+Pre!BQ13,2)</f>
        <v>0</v>
      </c>
      <c r="G13" s="40">
        <f>ROUND(Pre!BF13,2)</f>
        <v>0</v>
      </c>
      <c r="H13" s="40">
        <f>ROUND(Pre!BG13+Pre!BR13,2)</f>
        <v>0</v>
      </c>
      <c r="I13" s="40">
        <f>ROUND(Pre!BI13,2)</f>
        <v>0</v>
      </c>
      <c r="J13" s="40">
        <f>ROUND(Pre!BI13+Pre!BS13,2)</f>
        <v>0</v>
      </c>
      <c r="K13" s="40">
        <f>ROUND(Pre!BJ13+Pre!BT13,2)</f>
        <v>0</v>
      </c>
      <c r="L13" s="40">
        <f>ROUND(Pre!BK13+Pre!BU13,2)</f>
        <v>0</v>
      </c>
      <c r="M13" s="40">
        <f>ROUND(Pre!BL13+Pre!BV13,2)</f>
        <v>0</v>
      </c>
      <c r="N13" s="40">
        <f>ROUND(Pre!BM13+Pre!BW13,2)</f>
        <v>0</v>
      </c>
      <c r="O13" s="40">
        <f>ROUND(Pre!BN13,2)</f>
        <v>0</v>
      </c>
      <c r="P13" s="40">
        <f>ROUND(Pre!BX13,2)</f>
        <v>0</v>
      </c>
      <c r="Q13" s="40">
        <f t="shared" si="0"/>
        <v>0</v>
      </c>
      <c r="S13" s="40">
        <f>-ROUND(Pre!CG13,2)</f>
        <v>0</v>
      </c>
      <c r="T13" s="40">
        <f>-ROUND(Pre!CO13,2)</f>
        <v>0</v>
      </c>
      <c r="U13" s="40">
        <f>-ROUND(Pre!Y13,2)</f>
        <v>0</v>
      </c>
      <c r="V13" s="40">
        <f>-ROUND(Pre!CW13,2)</f>
        <v>0</v>
      </c>
      <c r="W13" s="40">
        <f>-ROUND(Pre!AB13,2)</f>
        <v>0</v>
      </c>
      <c r="X13" s="40">
        <f>-ROUND(Pre!AC13,2)</f>
        <v>0</v>
      </c>
      <c r="Y13" s="40">
        <f>-ROUND(Pre!CH13,2)</f>
        <v>0</v>
      </c>
      <c r="Z13" s="40">
        <f t="shared" si="1"/>
        <v>0</v>
      </c>
      <c r="AB13" s="40">
        <f t="shared" si="2"/>
        <v>0</v>
      </c>
    </row>
    <row r="14" spans="1:28" s="47" customFormat="1" hidden="1" x14ac:dyDescent="0.2">
      <c r="A14" s="46" t="str">
        <f>IF(AND(L!I14&lt;&gt;"Baja",L!I14&lt;&gt;""),L!A14,"")</f>
        <v/>
      </c>
      <c r="B14" s="47" t="str">
        <f>IF(AND(L!I14&lt;&gt;"Baja",L!I14&lt;&gt;""),L!B14,"")</f>
        <v/>
      </c>
      <c r="D14" s="40">
        <f>ROUND(Pre!BC14,2)</f>
        <v>0</v>
      </c>
      <c r="E14" s="40">
        <f>ROUND(Pre!BD14,2)</f>
        <v>0</v>
      </c>
      <c r="F14" s="40">
        <f>ROUND(Pre!BE14+Pre!BQ14,2)</f>
        <v>0</v>
      </c>
      <c r="G14" s="40">
        <f>ROUND(Pre!BF14,2)</f>
        <v>0</v>
      </c>
      <c r="H14" s="40">
        <f>ROUND(Pre!BG14+Pre!BR14,2)</f>
        <v>0</v>
      </c>
      <c r="I14" s="40">
        <f>ROUND(Pre!BI14,2)</f>
        <v>0</v>
      </c>
      <c r="J14" s="40">
        <f>ROUND(Pre!BI14+Pre!BS14,2)</f>
        <v>0</v>
      </c>
      <c r="K14" s="40">
        <f>ROUND(Pre!BJ14+Pre!BT14,2)</f>
        <v>0</v>
      </c>
      <c r="L14" s="40">
        <f>ROUND(Pre!BK14+Pre!BU14,2)</f>
        <v>0</v>
      </c>
      <c r="M14" s="40">
        <f>ROUND(Pre!BL14+Pre!BV14,2)</f>
        <v>0</v>
      </c>
      <c r="N14" s="40">
        <f>ROUND(Pre!BM14+Pre!BW14,2)</f>
        <v>0</v>
      </c>
      <c r="O14" s="40">
        <f>ROUND(Pre!BN14,2)</f>
        <v>0</v>
      </c>
      <c r="P14" s="40">
        <f>ROUND(Pre!BX14,2)</f>
        <v>0</v>
      </c>
      <c r="Q14" s="40">
        <f t="shared" si="0"/>
        <v>0</v>
      </c>
      <c r="S14" s="40">
        <f>-ROUND(Pre!CG14,2)</f>
        <v>0</v>
      </c>
      <c r="T14" s="40">
        <f>-ROUND(Pre!CO14,2)</f>
        <v>0</v>
      </c>
      <c r="U14" s="40">
        <f>-ROUND(Pre!Y14,2)</f>
        <v>0</v>
      </c>
      <c r="V14" s="40">
        <f>-ROUND(Pre!CW14,2)</f>
        <v>0</v>
      </c>
      <c r="W14" s="40">
        <f>-ROUND(Pre!AB14,2)</f>
        <v>0</v>
      </c>
      <c r="X14" s="40">
        <f>-ROUND(Pre!AC14,2)</f>
        <v>0</v>
      </c>
      <c r="Y14" s="40">
        <f>-ROUND(Pre!CH14,2)</f>
        <v>0</v>
      </c>
      <c r="Z14" s="40">
        <f t="shared" si="1"/>
        <v>0</v>
      </c>
      <c r="AB14" s="40">
        <f t="shared" si="2"/>
        <v>0</v>
      </c>
    </row>
    <row r="15" spans="1:28" s="47" customFormat="1" x14ac:dyDescent="0.2">
      <c r="A15" s="46">
        <f>IF(AND(L!I15&lt;&gt;"Baja",L!I15&lt;&gt;""),L!A15,"")</f>
        <v>12</v>
      </c>
      <c r="B15" s="47" t="str">
        <f>IF(AND(L!I15&lt;&gt;"Baja",L!I15&lt;&gt;""),L!B15,"")</f>
        <v>VEGA CARREON JOSE LUIS</v>
      </c>
      <c r="D15" s="40">
        <f>ROUND(Pre!BC15,2)</f>
        <v>2182.1799999999998</v>
      </c>
      <c r="E15" s="40">
        <f>ROUND(Pre!BD15,2)</f>
        <v>0</v>
      </c>
      <c r="F15" s="40">
        <f>ROUND(Pre!BE15+Pre!BQ15,2)</f>
        <v>0</v>
      </c>
      <c r="G15" s="40">
        <f>ROUND(Pre!BF15,2)</f>
        <v>0</v>
      </c>
      <c r="H15" s="40">
        <f>ROUND(Pre!BG15+Pre!BR15,2)</f>
        <v>0</v>
      </c>
      <c r="I15" s="40">
        <f>ROUND(Pre!BI15,2)</f>
        <v>0</v>
      </c>
      <c r="J15" s="40">
        <f>ROUND(Pre!BI15+Pre!BS15,2)</f>
        <v>0</v>
      </c>
      <c r="K15" s="40">
        <f>ROUND(Pre!BJ15+Pre!BT15,2)</f>
        <v>109.11</v>
      </c>
      <c r="L15" s="40">
        <f>ROUND(Pre!BK15+Pre!BU15,2)</f>
        <v>218.22</v>
      </c>
      <c r="M15" s="40">
        <f>ROUND(Pre!BL15+Pre!BV15,2)</f>
        <v>218.22</v>
      </c>
      <c r="N15" s="40">
        <f>ROUND(Pre!BM15+Pre!BW15,2)</f>
        <v>0</v>
      </c>
      <c r="O15" s="40">
        <f>ROUND(Pre!BN15,2)</f>
        <v>0</v>
      </c>
      <c r="P15" s="40">
        <f>ROUND(Pre!BX15,2)</f>
        <v>0</v>
      </c>
      <c r="Q15" s="40">
        <f t="shared" si="0"/>
        <v>2727.7299999999996</v>
      </c>
      <c r="S15" s="40">
        <f>-ROUND(Pre!CG15,2)</f>
        <v>-266.55</v>
      </c>
      <c r="T15" s="40">
        <f>-ROUND(Pre!CO15,2)</f>
        <v>-56.53</v>
      </c>
      <c r="U15" s="40">
        <f>-ROUND(Pre!Y15,2)</f>
        <v>0</v>
      </c>
      <c r="V15" s="40">
        <f>-ROUND(Pre!CW15,2)</f>
        <v>0</v>
      </c>
      <c r="W15" s="40">
        <f>-ROUND(Pre!AB15,2)</f>
        <v>0</v>
      </c>
      <c r="X15" s="40">
        <f>-ROUND(Pre!AC15,2)</f>
        <v>0</v>
      </c>
      <c r="Y15" s="40">
        <f>-ROUND(Pre!CH15,2)</f>
        <v>0</v>
      </c>
      <c r="Z15" s="40">
        <f t="shared" si="1"/>
        <v>-323.08000000000004</v>
      </c>
      <c r="AB15" s="40">
        <f t="shared" si="2"/>
        <v>2404.6499999999996</v>
      </c>
    </row>
    <row r="16" spans="1:28" s="47" customFormat="1" hidden="1" x14ac:dyDescent="0.2">
      <c r="A16" s="46" t="str">
        <f>IF(AND(L!I16&lt;&gt;"Baja",L!I16&lt;&gt;""),L!A16,"")</f>
        <v/>
      </c>
      <c r="B16" s="47" t="str">
        <f>IF(AND(L!I16&lt;&gt;"Baja",L!I16&lt;&gt;""),L!B16,"")</f>
        <v/>
      </c>
      <c r="D16" s="40">
        <f>ROUND(Pre!BC16,2)</f>
        <v>0</v>
      </c>
      <c r="E16" s="40">
        <f>ROUND(Pre!BD16,2)</f>
        <v>0</v>
      </c>
      <c r="F16" s="40">
        <f>ROUND(Pre!BE16+Pre!BQ16,2)</f>
        <v>0</v>
      </c>
      <c r="G16" s="40">
        <f>ROUND(Pre!BF16,2)</f>
        <v>0</v>
      </c>
      <c r="H16" s="40">
        <f>ROUND(Pre!BG16+Pre!BR16,2)</f>
        <v>0</v>
      </c>
      <c r="I16" s="40">
        <f>ROUND(Pre!BI16,2)</f>
        <v>0</v>
      </c>
      <c r="J16" s="40">
        <f>ROUND(Pre!BI16+Pre!BS16,2)</f>
        <v>0</v>
      </c>
      <c r="K16" s="40">
        <f>ROUND(Pre!BJ16+Pre!BT16,2)</f>
        <v>0</v>
      </c>
      <c r="L16" s="40">
        <f>ROUND(Pre!BK16+Pre!BU16,2)</f>
        <v>0</v>
      </c>
      <c r="M16" s="40">
        <f>ROUND(Pre!BL16+Pre!BV16,2)</f>
        <v>0</v>
      </c>
      <c r="N16" s="40">
        <f>ROUND(Pre!BM16+Pre!BW16,2)</f>
        <v>0</v>
      </c>
      <c r="O16" s="40">
        <f>ROUND(Pre!BN16,2)</f>
        <v>0</v>
      </c>
      <c r="P16" s="40">
        <f>ROUND(Pre!BX16,2)</f>
        <v>0</v>
      </c>
      <c r="Q16" s="40">
        <f t="shared" si="0"/>
        <v>0</v>
      </c>
      <c r="S16" s="40">
        <f>-ROUND(Pre!CG16,2)</f>
        <v>0</v>
      </c>
      <c r="T16" s="40">
        <f>-ROUND(Pre!CO16,2)</f>
        <v>0</v>
      </c>
      <c r="U16" s="40">
        <f>-ROUND(Pre!Y16,2)</f>
        <v>0</v>
      </c>
      <c r="V16" s="40">
        <f>-ROUND(Pre!CW16,2)</f>
        <v>0</v>
      </c>
      <c r="W16" s="40">
        <f>-ROUND(Pre!AB16,2)</f>
        <v>0</v>
      </c>
      <c r="X16" s="40">
        <f>-ROUND(Pre!AC16,2)</f>
        <v>0</v>
      </c>
      <c r="Y16" s="40">
        <f>-ROUND(Pre!CH16,2)</f>
        <v>0</v>
      </c>
      <c r="Z16" s="40">
        <f t="shared" si="1"/>
        <v>0</v>
      </c>
      <c r="AB16" s="40">
        <f t="shared" si="2"/>
        <v>0</v>
      </c>
    </row>
    <row r="17" spans="1:29" s="47" customFormat="1" hidden="1" x14ac:dyDescent="0.2">
      <c r="A17" s="46" t="str">
        <f>IF(AND(L!I17&lt;&gt;"Baja",L!I17&lt;&gt;""),L!A17,"")</f>
        <v/>
      </c>
      <c r="B17" s="47" t="str">
        <f>IF(AND(L!I17&lt;&gt;"Baja",L!I17&lt;&gt;""),L!B17,"")</f>
        <v/>
      </c>
      <c r="D17" s="40">
        <f>ROUND(Pre!BC17,2)</f>
        <v>0</v>
      </c>
      <c r="E17" s="40">
        <f>ROUND(Pre!BD17,2)</f>
        <v>0</v>
      </c>
      <c r="F17" s="40">
        <f>ROUND(Pre!BE17+Pre!BQ17,2)</f>
        <v>0</v>
      </c>
      <c r="G17" s="40">
        <f>ROUND(Pre!BF17,2)</f>
        <v>0</v>
      </c>
      <c r="H17" s="40">
        <f>ROUND(Pre!BG17+Pre!BR17,2)</f>
        <v>0</v>
      </c>
      <c r="I17" s="40">
        <f>ROUND(Pre!BI17,2)</f>
        <v>0</v>
      </c>
      <c r="J17" s="40">
        <f>ROUND(Pre!BI17+Pre!BS17,2)</f>
        <v>0</v>
      </c>
      <c r="K17" s="40">
        <f>ROUND(Pre!BJ17+Pre!BT17,2)</f>
        <v>0</v>
      </c>
      <c r="L17" s="40">
        <f>ROUND(Pre!BK17+Pre!BU17,2)</f>
        <v>0</v>
      </c>
      <c r="M17" s="40">
        <f>ROUND(Pre!BL17+Pre!BV17,2)</f>
        <v>0</v>
      </c>
      <c r="N17" s="40">
        <f>ROUND(Pre!BM17+Pre!BW17,2)</f>
        <v>0</v>
      </c>
      <c r="O17" s="40">
        <f>ROUND(Pre!BN17,2)</f>
        <v>0</v>
      </c>
      <c r="P17" s="40">
        <f>ROUND(Pre!BX17,2)</f>
        <v>0</v>
      </c>
      <c r="Q17" s="40">
        <f t="shared" si="0"/>
        <v>0</v>
      </c>
      <c r="S17" s="40">
        <f>-ROUND(Pre!CG17,2)</f>
        <v>0</v>
      </c>
      <c r="T17" s="40">
        <f>-ROUND(Pre!CO17,2)</f>
        <v>0</v>
      </c>
      <c r="U17" s="40">
        <f>-ROUND(Pre!Y17,2)</f>
        <v>0</v>
      </c>
      <c r="V17" s="40">
        <f>-ROUND(Pre!CW17,2)</f>
        <v>0</v>
      </c>
      <c r="W17" s="40">
        <f>-ROUND(Pre!AB17,2)</f>
        <v>0</v>
      </c>
      <c r="X17" s="40">
        <f>-ROUND(Pre!AC17,2)</f>
        <v>0</v>
      </c>
      <c r="Y17" s="40">
        <f>-ROUND(Pre!CH17,2)</f>
        <v>0</v>
      </c>
      <c r="Z17" s="40">
        <f t="shared" si="1"/>
        <v>0</v>
      </c>
      <c r="AB17" s="40">
        <f t="shared" si="2"/>
        <v>0</v>
      </c>
    </row>
    <row r="18" spans="1:29" s="47" customFormat="1" hidden="1" x14ac:dyDescent="0.2">
      <c r="A18" s="46" t="str">
        <f>IF(AND(L!I18&lt;&gt;"Baja",L!I18&lt;&gt;""),L!A18,"")</f>
        <v/>
      </c>
      <c r="B18" s="47" t="str">
        <f>IF(AND(L!I18&lt;&gt;"Baja",L!I18&lt;&gt;""),L!B18,"")</f>
        <v/>
      </c>
      <c r="D18" s="40">
        <f>ROUND(Pre!BC18,2)</f>
        <v>0</v>
      </c>
      <c r="E18" s="40">
        <f>ROUND(Pre!BD18,2)</f>
        <v>0</v>
      </c>
      <c r="F18" s="40">
        <f>ROUND(Pre!BE18+Pre!BQ18,2)</f>
        <v>0</v>
      </c>
      <c r="G18" s="40">
        <f>ROUND(Pre!BF18,2)</f>
        <v>0</v>
      </c>
      <c r="H18" s="40">
        <f>ROUND(Pre!BG18+Pre!BR18,2)</f>
        <v>0</v>
      </c>
      <c r="I18" s="40">
        <f>ROUND(Pre!BI18,2)</f>
        <v>0</v>
      </c>
      <c r="J18" s="40">
        <f>ROUND(Pre!BI18+Pre!BS18,2)</f>
        <v>0</v>
      </c>
      <c r="K18" s="40">
        <f>ROUND(Pre!BJ18+Pre!BT18,2)</f>
        <v>0</v>
      </c>
      <c r="L18" s="40">
        <f>ROUND(Pre!BK18+Pre!BU18,2)</f>
        <v>0</v>
      </c>
      <c r="M18" s="40">
        <f>ROUND(Pre!BL18+Pre!BV18,2)</f>
        <v>0</v>
      </c>
      <c r="N18" s="40">
        <f>ROUND(Pre!BM18+Pre!BW18,2)</f>
        <v>0</v>
      </c>
      <c r="O18" s="40">
        <f>ROUND(Pre!BN18,2)</f>
        <v>0</v>
      </c>
      <c r="P18" s="40">
        <f>ROUND(Pre!BX18,2)</f>
        <v>0</v>
      </c>
      <c r="Q18" s="40">
        <f t="shared" si="0"/>
        <v>0</v>
      </c>
      <c r="S18" s="40">
        <f>-ROUND(Pre!CG18,2)</f>
        <v>0</v>
      </c>
      <c r="T18" s="40">
        <f>-ROUND(Pre!CO18,2)</f>
        <v>0</v>
      </c>
      <c r="U18" s="40">
        <f>-ROUND(Pre!Y18,2)</f>
        <v>0</v>
      </c>
      <c r="V18" s="40">
        <f>-ROUND(Pre!CW18,2)</f>
        <v>0</v>
      </c>
      <c r="W18" s="40">
        <f>-ROUND(Pre!AB18,2)</f>
        <v>0</v>
      </c>
      <c r="X18" s="40">
        <f>-ROUND(Pre!AC18,2)</f>
        <v>0</v>
      </c>
      <c r="Y18" s="40">
        <f>-ROUND(Pre!CH18,2)</f>
        <v>0</v>
      </c>
      <c r="Z18" s="40">
        <f t="shared" si="1"/>
        <v>0</v>
      </c>
      <c r="AB18" s="40">
        <f t="shared" si="2"/>
        <v>0</v>
      </c>
    </row>
    <row r="19" spans="1:29" s="47" customFormat="1" hidden="1" x14ac:dyDescent="0.2">
      <c r="A19" s="46" t="str">
        <f>IF(AND(L!I19&lt;&gt;"Baja",L!I19&lt;&gt;""),L!A19,"")</f>
        <v/>
      </c>
      <c r="B19" s="47" t="str">
        <f>IF(AND(L!I19&lt;&gt;"Baja",L!I19&lt;&gt;""),L!B19,"")</f>
        <v/>
      </c>
      <c r="D19" s="40">
        <f>ROUND(Pre!BC19,2)</f>
        <v>0</v>
      </c>
      <c r="E19" s="40">
        <f>ROUND(Pre!BD19,2)</f>
        <v>0</v>
      </c>
      <c r="F19" s="40">
        <f>ROUND(Pre!BE19+Pre!BQ19,2)</f>
        <v>0</v>
      </c>
      <c r="G19" s="40">
        <f>ROUND(Pre!BF19,2)</f>
        <v>0</v>
      </c>
      <c r="H19" s="40">
        <f>ROUND(Pre!BG19+Pre!BR19,2)</f>
        <v>0</v>
      </c>
      <c r="I19" s="40">
        <f>ROUND(Pre!BI19,2)</f>
        <v>0</v>
      </c>
      <c r="J19" s="40">
        <f>ROUND(Pre!BI19+Pre!BS19,2)</f>
        <v>0</v>
      </c>
      <c r="K19" s="40">
        <f>ROUND(Pre!BJ19+Pre!BT19,2)</f>
        <v>0</v>
      </c>
      <c r="L19" s="40">
        <f>ROUND(Pre!BK19+Pre!BU19,2)</f>
        <v>0</v>
      </c>
      <c r="M19" s="40">
        <f>ROUND(Pre!BL19+Pre!BV19,2)</f>
        <v>0</v>
      </c>
      <c r="N19" s="40">
        <f>ROUND(Pre!BM19+Pre!BW19,2)</f>
        <v>0</v>
      </c>
      <c r="O19" s="40">
        <f>ROUND(Pre!BN19,2)</f>
        <v>0</v>
      </c>
      <c r="P19" s="40">
        <f>ROUND(Pre!BX19,2)</f>
        <v>0</v>
      </c>
      <c r="Q19" s="40">
        <f t="shared" si="0"/>
        <v>0</v>
      </c>
      <c r="S19" s="40">
        <f>-ROUND(Pre!CG19,2)</f>
        <v>0</v>
      </c>
      <c r="T19" s="40">
        <f>-ROUND(Pre!CO19,2)</f>
        <v>0</v>
      </c>
      <c r="U19" s="40">
        <f>-ROUND(Pre!Y19,2)</f>
        <v>0</v>
      </c>
      <c r="V19" s="40">
        <f>-ROUND(Pre!CW19,2)</f>
        <v>0</v>
      </c>
      <c r="W19" s="40">
        <f>-ROUND(Pre!AB19,2)</f>
        <v>0</v>
      </c>
      <c r="X19" s="40">
        <f>-ROUND(Pre!AC19,2)</f>
        <v>0</v>
      </c>
      <c r="Y19" s="40">
        <f>-ROUND(Pre!CH19,2)</f>
        <v>0</v>
      </c>
      <c r="Z19" s="40">
        <f t="shared" si="1"/>
        <v>0</v>
      </c>
      <c r="AB19" s="40">
        <f t="shared" si="2"/>
        <v>0</v>
      </c>
    </row>
    <row r="20" spans="1:29" s="47" customFormat="1" hidden="1" x14ac:dyDescent="0.2">
      <c r="A20" s="46" t="str">
        <f>IF(AND(L!I20&lt;&gt;"Baja",L!I20&lt;&gt;""),L!A20,"")</f>
        <v/>
      </c>
      <c r="B20" s="47" t="str">
        <f>IF(AND(L!I20&lt;&gt;"Baja",L!I20&lt;&gt;""),L!B20,"")</f>
        <v/>
      </c>
      <c r="D20" s="40">
        <f>ROUND(Pre!BC20,2)</f>
        <v>0</v>
      </c>
      <c r="E20" s="40">
        <f>ROUND(Pre!BD20,2)</f>
        <v>0</v>
      </c>
      <c r="F20" s="40">
        <f>ROUND(Pre!BE20+Pre!BQ20,2)</f>
        <v>0</v>
      </c>
      <c r="G20" s="40">
        <f>ROUND(Pre!BF20,2)</f>
        <v>0</v>
      </c>
      <c r="H20" s="40">
        <f>ROUND(Pre!BG20+Pre!BR20,2)</f>
        <v>0</v>
      </c>
      <c r="I20" s="40">
        <f>ROUND(Pre!BI20,2)</f>
        <v>0</v>
      </c>
      <c r="J20" s="40">
        <f>ROUND(Pre!BI20+Pre!BS20,2)</f>
        <v>0</v>
      </c>
      <c r="K20" s="40">
        <f>ROUND(Pre!BJ20+Pre!BT20,2)</f>
        <v>0</v>
      </c>
      <c r="L20" s="40">
        <f>ROUND(Pre!BK20+Pre!BU20,2)</f>
        <v>0</v>
      </c>
      <c r="M20" s="40">
        <f>ROUND(Pre!BL20+Pre!BV20,2)</f>
        <v>0</v>
      </c>
      <c r="N20" s="40">
        <f>ROUND(Pre!BM20+Pre!BW20,2)</f>
        <v>0</v>
      </c>
      <c r="O20" s="40">
        <f>ROUND(Pre!BN20,2)</f>
        <v>0</v>
      </c>
      <c r="P20" s="40">
        <f>ROUND(Pre!BX20,2)</f>
        <v>0</v>
      </c>
      <c r="Q20" s="40">
        <f t="shared" si="0"/>
        <v>0</v>
      </c>
      <c r="S20" s="40">
        <f>-ROUND(Pre!CG20,2)</f>
        <v>0</v>
      </c>
      <c r="T20" s="40">
        <f>-ROUND(Pre!CO20,2)</f>
        <v>0</v>
      </c>
      <c r="U20" s="40">
        <f>-ROUND(Pre!Y20,2)</f>
        <v>0</v>
      </c>
      <c r="V20" s="40">
        <f>-ROUND(Pre!CW20,2)</f>
        <v>0</v>
      </c>
      <c r="W20" s="40">
        <f>-ROUND(Pre!AB20,2)</f>
        <v>0</v>
      </c>
      <c r="X20" s="40">
        <f>-ROUND(Pre!AC20,2)</f>
        <v>0</v>
      </c>
      <c r="Y20" s="40">
        <f>-ROUND(Pre!CH20,2)</f>
        <v>0</v>
      </c>
      <c r="Z20" s="40">
        <f t="shared" si="1"/>
        <v>0</v>
      </c>
      <c r="AB20" s="40">
        <f t="shared" si="2"/>
        <v>0</v>
      </c>
    </row>
    <row r="21" spans="1:29" s="47" customFormat="1" x14ac:dyDescent="0.2">
      <c r="A21" s="46">
        <f>IF(AND(L!I21&lt;&gt;"Baja",L!I21&lt;&gt;""),L!A21,"")</f>
        <v>18</v>
      </c>
      <c r="B21" s="47" t="str">
        <f>IF(AND(L!I21&lt;&gt;"Baja",L!I21&lt;&gt;""),L!B21,"")</f>
        <v>GUTIERREZ VAZQUEZ JOSE</v>
      </c>
      <c r="D21" s="40">
        <f>ROUND(Pre!BC21,2)</f>
        <v>2346.6799999999998</v>
      </c>
      <c r="E21" s="40">
        <f>ROUND(Pre!BD21,2)</f>
        <v>0</v>
      </c>
      <c r="F21" s="40">
        <f>ROUND(Pre!BE21+Pre!BQ21,2)</f>
        <v>0</v>
      </c>
      <c r="G21" s="40">
        <f>ROUND(Pre!BF21,2)</f>
        <v>0</v>
      </c>
      <c r="H21" s="40">
        <f>ROUND(Pre!BG21+Pre!BR21,2)</f>
        <v>0</v>
      </c>
      <c r="I21" s="40">
        <f>ROUND(Pre!BI21,2)</f>
        <v>0</v>
      </c>
      <c r="J21" s="40">
        <f>ROUND(Pre!BI21+Pre!BS21,2)</f>
        <v>0</v>
      </c>
      <c r="K21" s="40">
        <f>ROUND(Pre!BJ21+Pre!BT21,2)</f>
        <v>117.33</v>
      </c>
      <c r="L21" s="40">
        <f>ROUND(Pre!BK21+Pre!BU21,2)</f>
        <v>234.67</v>
      </c>
      <c r="M21" s="40">
        <f>ROUND(Pre!BL21+Pre!BV21,2)</f>
        <v>234.67</v>
      </c>
      <c r="N21" s="40">
        <f>ROUND(Pre!BM21+Pre!BW21,2)</f>
        <v>0</v>
      </c>
      <c r="O21" s="40">
        <f>ROUND(Pre!BN21,2)</f>
        <v>0</v>
      </c>
      <c r="P21" s="40">
        <f>ROUND(Pre!BX21,2)</f>
        <v>0</v>
      </c>
      <c r="Q21" s="40">
        <f t="shared" si="0"/>
        <v>2933.35</v>
      </c>
      <c r="S21" s="40">
        <f>-ROUND(Pre!CG21,2)</f>
        <v>-303.67</v>
      </c>
      <c r="T21" s="40">
        <f>-ROUND(Pre!CO21,2)</f>
        <v>-61.06</v>
      </c>
      <c r="U21" s="40">
        <f>-ROUND(Pre!Y21,2)</f>
        <v>0</v>
      </c>
      <c r="V21" s="40">
        <f>-ROUND(Pre!CW21,2)</f>
        <v>0</v>
      </c>
      <c r="W21" s="40">
        <f>-ROUND(Pre!AB21,2)</f>
        <v>-300</v>
      </c>
      <c r="X21" s="40">
        <f>-ROUND(Pre!AC21,2)</f>
        <v>0</v>
      </c>
      <c r="Y21" s="40">
        <f>-ROUND(Pre!CH21,2)</f>
        <v>0</v>
      </c>
      <c r="Z21" s="40">
        <f t="shared" si="1"/>
        <v>-664.73</v>
      </c>
      <c r="AB21" s="40">
        <f t="shared" si="2"/>
        <v>2268.62</v>
      </c>
    </row>
    <row r="22" spans="1:29" s="47" customFormat="1" hidden="1" x14ac:dyDescent="0.2">
      <c r="A22" s="46" t="str">
        <f>IF(AND(L!I22&lt;&gt;"Baja",L!I22&lt;&gt;""),L!A22,"")</f>
        <v/>
      </c>
      <c r="B22" s="47" t="str">
        <f>IF(AND(L!I22&lt;&gt;"Baja",L!I22&lt;&gt;""),L!B22,"")</f>
        <v/>
      </c>
      <c r="D22" s="40">
        <f>ROUND(Pre!BC22,2)</f>
        <v>0</v>
      </c>
      <c r="E22" s="40">
        <f>ROUND(Pre!BD22,2)</f>
        <v>0</v>
      </c>
      <c r="F22" s="40">
        <f>ROUND(Pre!BE22+Pre!BQ22,2)</f>
        <v>0</v>
      </c>
      <c r="G22" s="40">
        <f>ROUND(Pre!BF22,2)</f>
        <v>0</v>
      </c>
      <c r="H22" s="40">
        <f>ROUND(Pre!BG22+Pre!BR22,2)</f>
        <v>0</v>
      </c>
      <c r="I22" s="40">
        <f>ROUND(Pre!BI22,2)</f>
        <v>0</v>
      </c>
      <c r="J22" s="40">
        <f>ROUND(Pre!BI22+Pre!BS22,2)</f>
        <v>0</v>
      </c>
      <c r="K22" s="40">
        <f>ROUND(Pre!BJ22+Pre!BT22,2)</f>
        <v>0</v>
      </c>
      <c r="L22" s="40">
        <f>ROUND(Pre!BK22+Pre!BU22,2)</f>
        <v>0</v>
      </c>
      <c r="M22" s="40">
        <f>ROUND(Pre!BL22+Pre!BV22,2)</f>
        <v>0</v>
      </c>
      <c r="N22" s="40">
        <f>ROUND(Pre!BM22+Pre!BW22,2)</f>
        <v>0</v>
      </c>
      <c r="O22" s="40">
        <f>ROUND(Pre!BN22,2)</f>
        <v>0</v>
      </c>
      <c r="P22" s="40">
        <f>ROUND(Pre!BX22,2)</f>
        <v>0</v>
      </c>
      <c r="Q22" s="40">
        <f t="shared" si="0"/>
        <v>0</v>
      </c>
      <c r="S22" s="40">
        <f>-ROUND(Pre!CG22,2)</f>
        <v>0</v>
      </c>
      <c r="T22" s="40">
        <f>-ROUND(Pre!CO22,2)</f>
        <v>0</v>
      </c>
      <c r="U22" s="40">
        <f>-ROUND(Pre!Y22,2)</f>
        <v>0</v>
      </c>
      <c r="V22" s="40">
        <f>-ROUND(Pre!CW22,2)</f>
        <v>0</v>
      </c>
      <c r="W22" s="40">
        <f>-ROUND(Pre!AB22,2)</f>
        <v>0</v>
      </c>
      <c r="X22" s="40">
        <f>-ROUND(Pre!AC22,2)</f>
        <v>0</v>
      </c>
      <c r="Y22" s="40">
        <f>-ROUND(Pre!CH22,2)</f>
        <v>0</v>
      </c>
      <c r="Z22" s="40">
        <f t="shared" si="1"/>
        <v>0</v>
      </c>
      <c r="AB22" s="40">
        <f t="shared" si="2"/>
        <v>0</v>
      </c>
    </row>
    <row r="23" spans="1:29" s="47" customFormat="1" hidden="1" x14ac:dyDescent="0.2">
      <c r="A23" s="46" t="str">
        <f>IF(AND(L!I23&lt;&gt;"Baja",L!I23&lt;&gt;""),L!A23,"")</f>
        <v/>
      </c>
      <c r="B23" s="47" t="str">
        <f>IF(AND(L!I23&lt;&gt;"Baja",L!I23&lt;&gt;""),L!B23,"")</f>
        <v/>
      </c>
      <c r="D23" s="40">
        <f>ROUND(Pre!BC23,2)</f>
        <v>0</v>
      </c>
      <c r="E23" s="40">
        <f>ROUND(Pre!BD23,2)</f>
        <v>0</v>
      </c>
      <c r="F23" s="40">
        <f>ROUND(Pre!BE23+Pre!BQ23,2)</f>
        <v>0</v>
      </c>
      <c r="G23" s="40">
        <f>ROUND(Pre!BF23,2)</f>
        <v>0</v>
      </c>
      <c r="H23" s="40">
        <f>ROUND(Pre!BG23+Pre!BR23,2)</f>
        <v>0</v>
      </c>
      <c r="I23" s="40">
        <f>ROUND(Pre!BI23,2)</f>
        <v>0</v>
      </c>
      <c r="J23" s="40">
        <f>ROUND(Pre!BI23+Pre!BS23,2)</f>
        <v>0</v>
      </c>
      <c r="K23" s="40">
        <f>ROUND(Pre!BJ23+Pre!BT23,2)</f>
        <v>0</v>
      </c>
      <c r="L23" s="40">
        <f>ROUND(Pre!BK23+Pre!BU23,2)</f>
        <v>0</v>
      </c>
      <c r="M23" s="40">
        <f>ROUND(Pre!BL23+Pre!BV23,2)</f>
        <v>0</v>
      </c>
      <c r="N23" s="40">
        <f>ROUND(Pre!BM23+Pre!BW23,2)</f>
        <v>0</v>
      </c>
      <c r="O23" s="40">
        <f>ROUND(Pre!BN23,2)</f>
        <v>0</v>
      </c>
      <c r="P23" s="40">
        <f>ROUND(Pre!BX23,2)</f>
        <v>0</v>
      </c>
      <c r="Q23" s="40">
        <f t="shared" si="0"/>
        <v>0</v>
      </c>
      <c r="S23" s="40">
        <f>-ROUND(Pre!CG23,2)</f>
        <v>0</v>
      </c>
      <c r="T23" s="40">
        <f>-ROUND(Pre!CO23,2)</f>
        <v>0</v>
      </c>
      <c r="U23" s="40">
        <f>-ROUND(Pre!Y23,2)</f>
        <v>0</v>
      </c>
      <c r="V23" s="40">
        <f>-ROUND(Pre!CW23,2)</f>
        <v>0</v>
      </c>
      <c r="W23" s="40">
        <f>-ROUND(Pre!AB23,2)</f>
        <v>0</v>
      </c>
      <c r="X23" s="40">
        <f>-ROUND(Pre!AC23,2)</f>
        <v>0</v>
      </c>
      <c r="Y23" s="40">
        <f>-ROUND(Pre!CH23,2)</f>
        <v>0</v>
      </c>
      <c r="Z23" s="40">
        <f t="shared" si="1"/>
        <v>0</v>
      </c>
      <c r="AB23" s="40">
        <f t="shared" si="2"/>
        <v>0</v>
      </c>
    </row>
    <row r="24" spans="1:29" s="47" customFormat="1" x14ac:dyDescent="0.2">
      <c r="A24" s="46">
        <f>IF(AND(L!I24&lt;&gt;"Baja",L!I24&lt;&gt;""),L!A24,"")</f>
        <v>21</v>
      </c>
      <c r="B24" s="47" t="str">
        <f>IF(AND(L!I24&lt;&gt;"Baja",L!I24&lt;&gt;""),L!B24,"")</f>
        <v>VAZQUEZ ALVARADO HILARIO</v>
      </c>
      <c r="D24" s="40">
        <f>ROUND(Pre!BC24,2)</f>
        <v>1324.33</v>
      </c>
      <c r="E24" s="40">
        <f>ROUND(Pre!BD24,2)</f>
        <v>0</v>
      </c>
      <c r="F24" s="40">
        <f>ROUND(Pre!BE24+Pre!BQ24,2)</f>
        <v>0</v>
      </c>
      <c r="G24" s="40">
        <f>ROUND(Pre!BF24,2)</f>
        <v>0</v>
      </c>
      <c r="H24" s="40">
        <f>ROUND(Pre!BG24+Pre!BR24,2)</f>
        <v>0</v>
      </c>
      <c r="I24" s="40">
        <f>ROUND(Pre!BI24,2)</f>
        <v>0</v>
      </c>
      <c r="J24" s="40">
        <f>ROUND(Pre!BI24+Pre!BS24,2)</f>
        <v>0</v>
      </c>
      <c r="K24" s="40">
        <f>ROUND(Pre!BJ24+Pre!BT24,2)</f>
        <v>66.22</v>
      </c>
      <c r="L24" s="40">
        <f>ROUND(Pre!BK24+Pre!BU24,2)</f>
        <v>132.43</v>
      </c>
      <c r="M24" s="40">
        <f>ROUND(Pre!BL24+Pre!BV24,2)</f>
        <v>132.43</v>
      </c>
      <c r="N24" s="40">
        <f>ROUND(Pre!BM24+Pre!BW24,2)</f>
        <v>0</v>
      </c>
      <c r="O24" s="40">
        <f>ROUND(Pre!BN24,2)</f>
        <v>0</v>
      </c>
      <c r="P24" s="40">
        <f>ROUND(Pre!BX24,2)</f>
        <v>0</v>
      </c>
      <c r="Q24" s="40">
        <f t="shared" si="0"/>
        <v>1655.41</v>
      </c>
      <c r="S24" s="40">
        <f>-ROUND(Pre!CG24,2)</f>
        <v>-57.9</v>
      </c>
      <c r="T24" s="40">
        <f>-ROUND(Pre!CO24,2)</f>
        <v>-32.92</v>
      </c>
      <c r="U24" s="40">
        <f>-ROUND(Pre!Y24,2)</f>
        <v>0</v>
      </c>
      <c r="V24" s="40">
        <f>-ROUND(Pre!CW24,2)</f>
        <v>0</v>
      </c>
      <c r="W24" s="40">
        <f>-ROUND(Pre!AB24,2)</f>
        <v>-200</v>
      </c>
      <c r="X24" s="40">
        <f>-ROUND(Pre!AC24,2)</f>
        <v>0</v>
      </c>
      <c r="Y24" s="40">
        <f>-ROUND(Pre!CH24,2)</f>
        <v>0.01</v>
      </c>
      <c r="Z24" s="40">
        <f t="shared" si="1"/>
        <v>-290.81</v>
      </c>
      <c r="AB24" s="40">
        <f t="shared" si="2"/>
        <v>1364.6000000000001</v>
      </c>
    </row>
    <row r="25" spans="1:29" s="47" customFormat="1" x14ac:dyDescent="0.2">
      <c r="A25" s="46"/>
    </row>
    <row r="26" spans="1:29" s="47" customFormat="1" x14ac:dyDescent="0.2"/>
    <row r="27" spans="1:29" s="47" customFormat="1" x14ac:dyDescent="0.2">
      <c r="B27" s="47" t="str">
        <f>CONCATENATE("Total de trabajadores activos: ",COUNT($A$4:$A27))</f>
        <v>Total de trabajadores activos: 9</v>
      </c>
      <c r="D27" s="51">
        <f>SUM(D4:D26)</f>
        <v>17700.620000000003</v>
      </c>
      <c r="E27" s="51">
        <f t="shared" ref="E27:P27" si="3">SUM(E4:E26)</f>
        <v>0</v>
      </c>
      <c r="F27" s="51">
        <f t="shared" si="3"/>
        <v>0</v>
      </c>
      <c r="G27" s="51">
        <f t="shared" si="3"/>
        <v>0</v>
      </c>
      <c r="H27" s="51">
        <f t="shared" si="3"/>
        <v>0</v>
      </c>
      <c r="I27" s="51">
        <f t="shared" si="3"/>
        <v>0</v>
      </c>
      <c r="J27" s="51">
        <f t="shared" si="3"/>
        <v>0</v>
      </c>
      <c r="K27" s="51">
        <f t="shared" si="3"/>
        <v>885.02000000000021</v>
      </c>
      <c r="L27" s="51">
        <f t="shared" si="3"/>
        <v>1770.0700000000004</v>
      </c>
      <c r="M27" s="51">
        <f t="shared" si="3"/>
        <v>1770.0700000000004</v>
      </c>
      <c r="N27" s="51">
        <f t="shared" si="3"/>
        <v>0</v>
      </c>
      <c r="O27" s="51">
        <f t="shared" si="3"/>
        <v>0</v>
      </c>
      <c r="P27" s="51">
        <f t="shared" si="3"/>
        <v>0</v>
      </c>
      <c r="Q27" s="51">
        <f t="shared" ref="Q27" si="4">SUM(D27:P27)</f>
        <v>22125.780000000002</v>
      </c>
      <c r="S27" s="51">
        <f t="shared" ref="S27" si="5">SUM(S4:S26)</f>
        <v>-1932.6800000000003</v>
      </c>
      <c r="T27" s="51">
        <f t="shared" ref="T27" si="6">SUM(T4:T26)</f>
        <v>-456.33000000000004</v>
      </c>
      <c r="U27" s="51">
        <f t="shared" ref="U27" si="7">SUM(U4:U26)</f>
        <v>0</v>
      </c>
      <c r="V27" s="51">
        <f t="shared" ref="V27" si="8">SUM(V4:V26)</f>
        <v>-832.76</v>
      </c>
      <c r="W27" s="51">
        <f t="shared" ref="W27" si="9">SUM(W4:W26)</f>
        <v>-750</v>
      </c>
      <c r="X27" s="51">
        <f t="shared" ref="X27" si="10">SUM(X4:X26)</f>
        <v>0</v>
      </c>
      <c r="Y27" s="51">
        <f t="shared" ref="Y27" si="11">SUM(Y4:Y26)</f>
        <v>0.03</v>
      </c>
      <c r="Z27" s="51">
        <f>SUM(S27:Y27)</f>
        <v>-3971.7400000000002</v>
      </c>
      <c r="AB27" s="51">
        <f>SUM(AB4:AB26)</f>
        <v>18154.039999999994</v>
      </c>
    </row>
    <row r="28" spans="1:29" s="47" customFormat="1" x14ac:dyDescent="0.2"/>
    <row r="29" spans="1:29" s="47" customFormat="1" x14ac:dyDescent="0.2">
      <c r="A29" s="47" t="str">
        <f>CONCATENATE("Nomina No. ",Pre!H1," del  ",TEXT(Pre!N1,"dd-mmm"),"  al  ",TEXT(Pre!P1,"dd-mmm"))</f>
        <v>Nomina No. 36 del  02-sep  al  08-sep</v>
      </c>
      <c r="D29" s="40">
        <v>17700.62</v>
      </c>
      <c r="E29" s="40"/>
      <c r="F29" s="40"/>
      <c r="G29" s="40"/>
      <c r="H29" s="40"/>
      <c r="I29" s="40"/>
      <c r="J29" s="40"/>
      <c r="K29" s="40">
        <v>885.02</v>
      </c>
      <c r="L29" s="40">
        <v>1770.07</v>
      </c>
      <c r="M29" s="40">
        <v>1770.07</v>
      </c>
      <c r="N29" s="40"/>
      <c r="O29" s="40"/>
      <c r="P29" s="40"/>
      <c r="Q29" s="40">
        <f t="shared" ref="Q29" si="12">SUM(D29:P29)</f>
        <v>22125.78</v>
      </c>
      <c r="S29" s="40">
        <v>1932.68</v>
      </c>
      <c r="T29" s="40">
        <v>456.33</v>
      </c>
      <c r="U29" s="40"/>
      <c r="V29" s="40">
        <v>832.76</v>
      </c>
      <c r="W29" s="40">
        <v>750</v>
      </c>
      <c r="X29" s="40"/>
      <c r="Y29" s="40">
        <v>-0.03</v>
      </c>
      <c r="Z29" s="40">
        <f>SUM(S29:Y29)</f>
        <v>3971.7400000000002</v>
      </c>
      <c r="AB29" s="40">
        <f>Q29-Z29</f>
        <v>18154.039999999997</v>
      </c>
      <c r="AC29" s="47" t="s">
        <v>256</v>
      </c>
    </row>
    <row r="30" spans="1:29" s="47" customFormat="1" x14ac:dyDescent="0.2">
      <c r="D30" s="61">
        <f>D27-D29</f>
        <v>0</v>
      </c>
      <c r="E30" s="61">
        <f t="shared" ref="E30:Q30" si="13">E27-E29</f>
        <v>0</v>
      </c>
      <c r="F30" s="61">
        <f t="shared" si="13"/>
        <v>0</v>
      </c>
      <c r="G30" s="61">
        <f t="shared" si="13"/>
        <v>0</v>
      </c>
      <c r="H30" s="61">
        <f t="shared" si="13"/>
        <v>0</v>
      </c>
      <c r="I30" s="61">
        <f t="shared" si="13"/>
        <v>0</v>
      </c>
      <c r="J30" s="61">
        <f t="shared" si="13"/>
        <v>0</v>
      </c>
      <c r="K30" s="61">
        <f t="shared" si="13"/>
        <v>0</v>
      </c>
      <c r="L30" s="61">
        <f t="shared" si="13"/>
        <v>0</v>
      </c>
      <c r="M30" s="61">
        <f t="shared" si="13"/>
        <v>0</v>
      </c>
      <c r="N30" s="61">
        <f t="shared" si="13"/>
        <v>0</v>
      </c>
      <c r="O30" s="61">
        <f t="shared" si="13"/>
        <v>0</v>
      </c>
      <c r="P30" s="61">
        <f t="shared" si="13"/>
        <v>0</v>
      </c>
      <c r="Q30" s="61">
        <f t="shared" si="13"/>
        <v>0</v>
      </c>
      <c r="S30" s="61">
        <f>S27+S29</f>
        <v>0</v>
      </c>
      <c r="T30" s="61">
        <f t="shared" ref="T30:Z30" si="14">T27+T29</f>
        <v>0</v>
      </c>
      <c r="U30" s="61">
        <f t="shared" si="14"/>
        <v>0</v>
      </c>
      <c r="V30" s="61">
        <f t="shared" si="14"/>
        <v>0</v>
      </c>
      <c r="W30" s="61">
        <f t="shared" si="14"/>
        <v>0</v>
      </c>
      <c r="X30" s="61">
        <f t="shared" si="14"/>
        <v>0</v>
      </c>
      <c r="Y30" s="61">
        <f t="shared" si="14"/>
        <v>0</v>
      </c>
      <c r="Z30" s="61">
        <f t="shared" si="14"/>
        <v>0</v>
      </c>
      <c r="AB30" s="61">
        <f t="shared" ref="AB30" si="15">AB27-AB29</f>
        <v>0</v>
      </c>
    </row>
    <row r="31" spans="1:29" s="47" customFormat="1" x14ac:dyDescent="0.2"/>
    <row r="32" spans="1:29" s="47" customFormat="1" x14ac:dyDescent="0.2"/>
    <row r="33" s="47" customFormat="1" x14ac:dyDescent="0.2"/>
    <row r="34" s="47" customFormat="1" x14ac:dyDescent="0.2"/>
    <row r="35" s="47" customFormat="1" x14ac:dyDescent="0.2"/>
    <row r="36" s="47" customFormat="1" x14ac:dyDescent="0.2"/>
    <row r="37" s="47" customFormat="1" x14ac:dyDescent="0.2"/>
  </sheetData>
  <mergeCells count="7">
    <mergeCell ref="AA2:AA3"/>
    <mergeCell ref="S2:Z2"/>
    <mergeCell ref="AB2:AB3"/>
    <mergeCell ref="C2:C3"/>
    <mergeCell ref="A2:B2"/>
    <mergeCell ref="D2:Q2"/>
    <mergeCell ref="R2:R3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AE58"/>
  <sheetViews>
    <sheetView zoomScaleNormal="100" workbookViewId="0">
      <pane ySplit="1" topLeftCell="A2" activePane="bottomLeft" state="frozen"/>
      <selection pane="bottomLeft" activeCell="A2" sqref="A2:C2"/>
    </sheetView>
  </sheetViews>
  <sheetFormatPr baseColWidth="10" defaultRowHeight="11.25" x14ac:dyDescent="0.2"/>
  <cols>
    <col min="1" max="1" width="10.28515625" style="2" customWidth="1"/>
    <col min="2" max="2" width="5.28515625" style="2" customWidth="1"/>
    <col min="3" max="3" width="9" style="2" bestFit="1" customWidth="1"/>
    <col min="4" max="4" width="1.7109375" style="2" customWidth="1"/>
    <col min="5" max="5" width="21.85546875" style="2" bestFit="1" customWidth="1"/>
    <col min="6" max="6" width="4.85546875" style="2" bestFit="1" customWidth="1"/>
    <col min="7" max="7" width="12" style="2" bestFit="1" customWidth="1"/>
    <col min="8" max="8" width="1.7109375" style="2" customWidth="1"/>
    <col min="9" max="9" width="21.7109375" style="2" bestFit="1" customWidth="1"/>
    <col min="10" max="10" width="4.85546875" style="2" bestFit="1" customWidth="1"/>
    <col min="11" max="12" width="9.7109375" style="2" customWidth="1"/>
    <col min="13" max="13" width="1.7109375" style="2" customWidth="1"/>
    <col min="14" max="15" width="10.7109375" style="2" customWidth="1"/>
    <col min="16" max="16" width="6.7109375" style="2" customWidth="1"/>
    <col min="17" max="17" width="1.7109375" style="2" customWidth="1"/>
    <col min="18" max="18" width="4" style="2" bestFit="1" customWidth="1"/>
    <col min="19" max="20" width="11.42578125" style="2"/>
    <col min="21" max="21" width="1.7109375" style="2" customWidth="1"/>
    <col min="22" max="22" width="4.42578125" style="2" bestFit="1" customWidth="1"/>
    <col min="23" max="24" width="11.42578125" style="2"/>
    <col min="25" max="25" width="1.7109375" style="2" customWidth="1"/>
    <col min="26" max="26" width="4.42578125" style="2" bestFit="1" customWidth="1"/>
    <col min="27" max="28" width="11.42578125" style="2"/>
    <col min="29" max="29" width="1.7109375" style="2" customWidth="1"/>
    <col min="30" max="30" width="6.140625" style="2" customWidth="1"/>
    <col min="31" max="31" width="8.42578125" style="2" customWidth="1"/>
    <col min="32" max="16384" width="11.42578125" style="2"/>
  </cols>
  <sheetData>
    <row r="1" spans="1:31" s="21" customFormat="1" ht="20.25" x14ac:dyDescent="0.2">
      <c r="B1" s="22" t="s">
        <v>180</v>
      </c>
    </row>
    <row r="2" spans="1:31" ht="11.25" customHeight="1" x14ac:dyDescent="0.2">
      <c r="A2" s="92" t="s">
        <v>0</v>
      </c>
      <c r="B2" s="92"/>
      <c r="C2" s="92"/>
      <c r="D2" s="90"/>
      <c r="E2" s="92" t="s">
        <v>7</v>
      </c>
      <c r="F2" s="92"/>
      <c r="G2" s="92"/>
      <c r="H2" s="90"/>
      <c r="I2" s="92" t="s">
        <v>45</v>
      </c>
      <c r="J2" s="92"/>
      <c r="K2" s="92"/>
      <c r="L2" s="92"/>
      <c r="M2" s="90"/>
      <c r="N2" s="92" t="s">
        <v>75</v>
      </c>
      <c r="O2" s="92"/>
      <c r="P2" s="92"/>
      <c r="Q2" s="90"/>
      <c r="R2" s="92" t="s">
        <v>85</v>
      </c>
      <c r="S2" s="92"/>
      <c r="T2" s="92"/>
      <c r="U2" s="90"/>
      <c r="V2" s="92" t="s">
        <v>88</v>
      </c>
      <c r="W2" s="92"/>
      <c r="X2" s="92"/>
      <c r="Y2" s="90"/>
      <c r="Z2" s="92" t="s">
        <v>90</v>
      </c>
      <c r="AA2" s="92"/>
      <c r="AB2" s="92"/>
      <c r="AC2" s="10"/>
      <c r="AD2" s="93" t="s">
        <v>242</v>
      </c>
      <c r="AE2" s="93"/>
    </row>
    <row r="3" spans="1:31" x14ac:dyDescent="0.2">
      <c r="A3" s="8" t="s">
        <v>1</v>
      </c>
      <c r="B3" s="8" t="s">
        <v>2</v>
      </c>
      <c r="C3" s="8" t="s">
        <v>3</v>
      </c>
      <c r="D3" s="91"/>
      <c r="E3" s="8" t="s">
        <v>1</v>
      </c>
      <c r="F3" s="8" t="s">
        <v>8</v>
      </c>
      <c r="G3" s="8" t="s">
        <v>3</v>
      </c>
      <c r="H3" s="91"/>
      <c r="I3" s="8" t="s">
        <v>46</v>
      </c>
      <c r="J3" s="8" t="s">
        <v>8</v>
      </c>
      <c r="K3" s="8" t="s">
        <v>47</v>
      </c>
      <c r="L3" s="8" t="s">
        <v>48</v>
      </c>
      <c r="M3" s="91"/>
      <c r="N3" s="8" t="s">
        <v>76</v>
      </c>
      <c r="O3" s="8" t="s">
        <v>77</v>
      </c>
      <c r="P3" s="8" t="s">
        <v>78</v>
      </c>
      <c r="Q3" s="91"/>
      <c r="R3" s="8" t="s">
        <v>91</v>
      </c>
      <c r="S3" s="8" t="s">
        <v>86</v>
      </c>
      <c r="T3" s="8" t="s">
        <v>87</v>
      </c>
      <c r="U3" s="91"/>
      <c r="V3" s="8" t="s">
        <v>89</v>
      </c>
      <c r="W3" s="8" t="s">
        <v>86</v>
      </c>
      <c r="X3" s="8" t="s">
        <v>87</v>
      </c>
      <c r="Y3" s="91"/>
      <c r="Z3" s="8" t="s">
        <v>89</v>
      </c>
      <c r="AA3" s="8" t="s">
        <v>86</v>
      </c>
      <c r="AB3" s="8" t="s">
        <v>87</v>
      </c>
      <c r="AC3" s="11"/>
      <c r="AD3" s="25" t="s">
        <v>91</v>
      </c>
      <c r="AE3" s="25" t="s">
        <v>73</v>
      </c>
    </row>
    <row r="4" spans="1:31" x14ac:dyDescent="0.2">
      <c r="A4" s="2" t="s">
        <v>4</v>
      </c>
      <c r="B4" s="3">
        <v>30</v>
      </c>
      <c r="C4" s="3">
        <v>30.4</v>
      </c>
      <c r="E4" s="2" t="s">
        <v>9</v>
      </c>
      <c r="F4" s="2" t="s">
        <v>10</v>
      </c>
      <c r="G4" s="6">
        <v>43466</v>
      </c>
      <c r="I4" s="2" t="s">
        <v>49</v>
      </c>
      <c r="J4" s="2" t="s">
        <v>50</v>
      </c>
      <c r="K4" s="4">
        <v>0.54354999999999998</v>
      </c>
      <c r="L4" s="4">
        <v>0</v>
      </c>
      <c r="N4" s="7">
        <v>0.01</v>
      </c>
      <c r="O4" s="7">
        <v>0</v>
      </c>
      <c r="P4" s="33">
        <v>1.9199999999999998E-2</v>
      </c>
      <c r="R4" s="3">
        <v>1</v>
      </c>
      <c r="S4" s="6">
        <f>G4-MOD(WEEKDAY(DATE(YEAR(G4),1,7),$F$15), 7) + (R4-1)*7</f>
        <v>43465</v>
      </c>
      <c r="T4" s="6">
        <f>S4+6</f>
        <v>43471</v>
      </c>
      <c r="V4" s="3">
        <v>1</v>
      </c>
      <c r="W4" s="6">
        <f>G4</f>
        <v>43466</v>
      </c>
      <c r="X4" s="6">
        <f>W4+14</f>
        <v>43480</v>
      </c>
      <c r="Z4" s="3">
        <v>1</v>
      </c>
      <c r="AA4" s="6">
        <f>G4</f>
        <v>43466</v>
      </c>
      <c r="AB4" s="6">
        <f>EOMONTH(AA4,0)</f>
        <v>43496</v>
      </c>
      <c r="AD4" s="3">
        <v>1</v>
      </c>
      <c r="AE4" s="3">
        <f>DAY(EOMONTH(FI,0))+DAY(EOMONTH(FI,1))</f>
        <v>59</v>
      </c>
    </row>
    <row r="5" spans="1:31" x14ac:dyDescent="0.2">
      <c r="A5" s="2" t="s">
        <v>5</v>
      </c>
      <c r="B5" s="3">
        <v>15</v>
      </c>
      <c r="C5" s="3">
        <v>15.20833</v>
      </c>
      <c r="E5" s="2" t="s">
        <v>11</v>
      </c>
      <c r="F5" s="2" t="s">
        <v>12</v>
      </c>
      <c r="G5" s="6">
        <f>Pre!P1</f>
        <v>43716</v>
      </c>
      <c r="I5" s="2" t="s">
        <v>51</v>
      </c>
      <c r="J5" s="2" t="s">
        <v>52</v>
      </c>
      <c r="K5" s="4">
        <v>20.399999999999999</v>
      </c>
      <c r="L5" s="4">
        <v>0</v>
      </c>
      <c r="N5" s="7">
        <v>578.52</v>
      </c>
      <c r="O5" s="7">
        <v>11.11</v>
      </c>
      <c r="P5" s="33">
        <v>6.4000000000000001E-2</v>
      </c>
      <c r="R5" s="3">
        <f>WEEKNUM(T5,$F$15)</f>
        <v>2</v>
      </c>
      <c r="S5" s="6">
        <f>S4+7</f>
        <v>43472</v>
      </c>
      <c r="T5" s="6">
        <f>S5+6</f>
        <v>43478</v>
      </c>
      <c r="V5" s="3">
        <v>2</v>
      </c>
      <c r="W5" s="6">
        <f>X4+1</f>
        <v>43481</v>
      </c>
      <c r="X5" s="6">
        <f>EOMONTH(W5,0)</f>
        <v>43496</v>
      </c>
      <c r="Z5" s="3">
        <v>2</v>
      </c>
      <c r="AA5" s="6">
        <f>AB4+1</f>
        <v>43497</v>
      </c>
      <c r="AB5" s="6">
        <f>EOMONTH(AA5,0)</f>
        <v>43524</v>
      </c>
      <c r="AD5" s="3">
        <v>2</v>
      </c>
      <c r="AE5" s="3">
        <f>DAY(EOMONTH(FI,2))+DAY(EOMONTH(FI,3))</f>
        <v>61</v>
      </c>
    </row>
    <row r="6" spans="1:31" x14ac:dyDescent="0.2">
      <c r="A6" s="2" t="s">
        <v>6</v>
      </c>
      <c r="B6" s="3">
        <v>7</v>
      </c>
      <c r="C6" s="3">
        <v>7</v>
      </c>
      <c r="I6" s="2" t="s">
        <v>53</v>
      </c>
      <c r="J6" s="2" t="s">
        <v>54</v>
      </c>
      <c r="K6" s="4">
        <v>1.1000000000000001</v>
      </c>
      <c r="L6" s="4">
        <v>0.4</v>
      </c>
      <c r="N6" s="7">
        <v>4910.18</v>
      </c>
      <c r="O6" s="7">
        <v>288.33</v>
      </c>
      <c r="P6" s="33">
        <v>0.10879999999999999</v>
      </c>
      <c r="R6" s="3">
        <f t="shared" ref="R6:R55" si="0">WEEKNUM(T6,$F$15)</f>
        <v>3</v>
      </c>
      <c r="S6" s="6">
        <f t="shared" ref="S6:S26" si="1">S5+7</f>
        <v>43479</v>
      </c>
      <c r="T6" s="6">
        <f t="shared" ref="T6:T55" si="2">S6+6</f>
        <v>43485</v>
      </c>
      <c r="V6" s="3">
        <v>3</v>
      </c>
      <c r="W6" s="6">
        <f t="shared" ref="W6:W27" si="3">X5+1</f>
        <v>43497</v>
      </c>
      <c r="X6" s="6">
        <f t="shared" ref="X6:X26" si="4">W6+14</f>
        <v>43511</v>
      </c>
      <c r="Z6" s="3">
        <v>3</v>
      </c>
      <c r="AA6" s="6">
        <f t="shared" ref="AA6:AA15" si="5">AB5+1</f>
        <v>43525</v>
      </c>
      <c r="AB6" s="6">
        <f t="shared" ref="AB6:AB15" si="6">EOMONTH(AA6,0)</f>
        <v>43555</v>
      </c>
      <c r="AD6" s="3">
        <v>3</v>
      </c>
      <c r="AE6" s="3">
        <f>DAY(EOMONTH(FI,4))+DAY(EOMONTH(FI,5))</f>
        <v>61</v>
      </c>
    </row>
    <row r="7" spans="1:31" x14ac:dyDescent="0.2">
      <c r="E7" s="2" t="s">
        <v>13</v>
      </c>
      <c r="F7" s="3"/>
      <c r="G7" s="9" t="str">
        <f>Pre!$C$1</f>
        <v>Semanal</v>
      </c>
      <c r="I7" s="2" t="s">
        <v>55</v>
      </c>
      <c r="J7" s="2" t="s">
        <v>56</v>
      </c>
      <c r="K7" s="4">
        <v>1.05</v>
      </c>
      <c r="L7" s="4">
        <v>0.375</v>
      </c>
      <c r="N7" s="7">
        <v>8629.2000000000007</v>
      </c>
      <c r="O7" s="7">
        <v>692.96</v>
      </c>
      <c r="P7" s="33">
        <v>0.16</v>
      </c>
      <c r="R7" s="3">
        <f t="shared" si="0"/>
        <v>4</v>
      </c>
      <c r="S7" s="6">
        <f t="shared" si="1"/>
        <v>43486</v>
      </c>
      <c r="T7" s="6">
        <f t="shared" si="2"/>
        <v>43492</v>
      </c>
      <c r="V7" s="3">
        <v>4</v>
      </c>
      <c r="W7" s="6">
        <f t="shared" si="3"/>
        <v>43512</v>
      </c>
      <c r="X7" s="6">
        <f>EOMONTH(W7,0)</f>
        <v>43524</v>
      </c>
      <c r="Z7" s="3">
        <v>4</v>
      </c>
      <c r="AA7" s="6">
        <f t="shared" si="5"/>
        <v>43556</v>
      </c>
      <c r="AB7" s="6">
        <f t="shared" si="6"/>
        <v>43585</v>
      </c>
      <c r="AD7" s="3">
        <v>4</v>
      </c>
      <c r="AE7" s="3">
        <f>DAY(EOMONTH(FI,6))+DAY(EOMONTH(FI,7))</f>
        <v>62</v>
      </c>
    </row>
    <row r="8" spans="1:31" ht="11.25" customHeight="1" x14ac:dyDescent="0.2">
      <c r="A8" s="93" t="s">
        <v>71</v>
      </c>
      <c r="B8" s="93"/>
      <c r="C8" s="93"/>
      <c r="E8" s="2" t="s">
        <v>14</v>
      </c>
      <c r="F8" s="2" t="s">
        <v>15</v>
      </c>
      <c r="G8" s="2">
        <v>365</v>
      </c>
      <c r="I8" s="2" t="s">
        <v>57</v>
      </c>
      <c r="J8" s="2" t="s">
        <v>58</v>
      </c>
      <c r="K8" s="4">
        <v>0.7</v>
      </c>
      <c r="L8" s="4">
        <v>0.25</v>
      </c>
      <c r="N8" s="7">
        <v>10031.07</v>
      </c>
      <c r="O8" s="7">
        <v>917.26</v>
      </c>
      <c r="P8" s="33">
        <v>0.1792</v>
      </c>
      <c r="R8" s="3">
        <f t="shared" si="0"/>
        <v>5</v>
      </c>
      <c r="S8" s="6">
        <f t="shared" si="1"/>
        <v>43493</v>
      </c>
      <c r="T8" s="6">
        <f t="shared" si="2"/>
        <v>43499</v>
      </c>
      <c r="V8" s="3">
        <v>5</v>
      </c>
      <c r="W8" s="6">
        <f t="shared" si="3"/>
        <v>43525</v>
      </c>
      <c r="X8" s="6">
        <f t="shared" si="4"/>
        <v>43539</v>
      </c>
      <c r="Z8" s="3">
        <v>5</v>
      </c>
      <c r="AA8" s="6">
        <f t="shared" si="5"/>
        <v>43586</v>
      </c>
      <c r="AB8" s="6">
        <f t="shared" si="6"/>
        <v>43616</v>
      </c>
      <c r="AD8" s="3">
        <v>5</v>
      </c>
      <c r="AE8" s="3">
        <f>DAY(EOMONTH(FI,8))+DAY(EOMONTH(FI,9))</f>
        <v>61</v>
      </c>
    </row>
    <row r="9" spans="1:31" x14ac:dyDescent="0.2">
      <c r="A9" s="8" t="s">
        <v>72</v>
      </c>
      <c r="B9" s="8" t="s">
        <v>73</v>
      </c>
      <c r="C9" s="8" t="s">
        <v>74</v>
      </c>
      <c r="E9" s="2" t="s">
        <v>16</v>
      </c>
      <c r="F9" s="2" t="s">
        <v>17</v>
      </c>
      <c r="G9" s="2">
        <v>30</v>
      </c>
      <c r="I9" s="2" t="s">
        <v>59</v>
      </c>
      <c r="J9" s="2" t="s">
        <v>60</v>
      </c>
      <c r="K9" s="4">
        <v>1.75</v>
      </c>
      <c r="L9" s="4">
        <v>0.625</v>
      </c>
      <c r="N9" s="7">
        <v>12009.94</v>
      </c>
      <c r="O9" s="7">
        <v>1271.8699999999999</v>
      </c>
      <c r="P9" s="33">
        <v>0.21360000000000001</v>
      </c>
      <c r="R9" s="3">
        <f t="shared" si="0"/>
        <v>6</v>
      </c>
      <c r="S9" s="6">
        <f t="shared" si="1"/>
        <v>43500</v>
      </c>
      <c r="T9" s="6">
        <f t="shared" si="2"/>
        <v>43506</v>
      </c>
      <c r="V9" s="3">
        <v>6</v>
      </c>
      <c r="W9" s="6">
        <f t="shared" si="3"/>
        <v>43540</v>
      </c>
      <c r="X9" s="6">
        <f>EOMONTH(W9,0)</f>
        <v>43555</v>
      </c>
      <c r="Z9" s="3">
        <v>6</v>
      </c>
      <c r="AA9" s="6">
        <f t="shared" si="5"/>
        <v>43617</v>
      </c>
      <c r="AB9" s="6">
        <f t="shared" si="6"/>
        <v>43646</v>
      </c>
      <c r="AD9" s="3">
        <v>6</v>
      </c>
      <c r="AE9" s="3">
        <f>DAY(EOMONTH(FI,10))+DAY(EOMONTH(FI,11))</f>
        <v>61</v>
      </c>
    </row>
    <row r="10" spans="1:31" x14ac:dyDescent="0.2">
      <c r="A10" s="3">
        <v>0</v>
      </c>
      <c r="B10" s="3">
        <v>6</v>
      </c>
      <c r="C10" s="3">
        <v>1.5</v>
      </c>
      <c r="E10" s="2" t="s">
        <v>181</v>
      </c>
      <c r="F10" s="2" t="s">
        <v>18</v>
      </c>
      <c r="G10" s="2">
        <v>6</v>
      </c>
      <c r="I10" s="2" t="s">
        <v>61</v>
      </c>
      <c r="J10" s="2" t="s">
        <v>62</v>
      </c>
      <c r="K10" s="4">
        <v>2</v>
      </c>
      <c r="L10" s="4">
        <v>0</v>
      </c>
      <c r="N10" s="7">
        <v>24222.31</v>
      </c>
      <c r="O10" s="7">
        <v>3880.44</v>
      </c>
      <c r="P10" s="33">
        <v>0.23519999999999999</v>
      </c>
      <c r="R10" s="3">
        <f t="shared" si="0"/>
        <v>7</v>
      </c>
      <c r="S10" s="6">
        <f t="shared" si="1"/>
        <v>43507</v>
      </c>
      <c r="T10" s="6">
        <f t="shared" si="2"/>
        <v>43513</v>
      </c>
      <c r="V10" s="3">
        <v>7</v>
      </c>
      <c r="W10" s="6">
        <f t="shared" si="3"/>
        <v>43556</v>
      </c>
      <c r="X10" s="6">
        <f t="shared" si="4"/>
        <v>43570</v>
      </c>
      <c r="Z10" s="3">
        <v>7</v>
      </c>
      <c r="AA10" s="6">
        <f t="shared" si="5"/>
        <v>43647</v>
      </c>
      <c r="AB10" s="6">
        <f t="shared" si="6"/>
        <v>43677</v>
      </c>
    </row>
    <row r="11" spans="1:31" x14ac:dyDescent="0.2">
      <c r="A11" s="3">
        <v>2</v>
      </c>
      <c r="B11" s="3">
        <v>8</v>
      </c>
      <c r="C11" s="3">
        <v>2</v>
      </c>
      <c r="E11" s="2" t="s">
        <v>19</v>
      </c>
      <c r="F11" s="2" t="s">
        <v>20</v>
      </c>
      <c r="G11" s="2">
        <v>8</v>
      </c>
      <c r="I11" s="2" t="s">
        <v>63</v>
      </c>
      <c r="J11" s="2" t="s">
        <v>64</v>
      </c>
      <c r="K11" s="4">
        <v>3.15</v>
      </c>
      <c r="L11" s="4">
        <v>1.125</v>
      </c>
      <c r="N11" s="7">
        <v>38177.69</v>
      </c>
      <c r="O11" s="7">
        <v>7162.74</v>
      </c>
      <c r="P11" s="33">
        <v>0.3</v>
      </c>
      <c r="R11" s="3">
        <f t="shared" si="0"/>
        <v>8</v>
      </c>
      <c r="S11" s="6">
        <f t="shared" si="1"/>
        <v>43514</v>
      </c>
      <c r="T11" s="6">
        <f t="shared" si="2"/>
        <v>43520</v>
      </c>
      <c r="V11" s="3">
        <v>8</v>
      </c>
      <c r="W11" s="6">
        <f t="shared" si="3"/>
        <v>43571</v>
      </c>
      <c r="X11" s="6">
        <f>EOMONTH(W11,0)</f>
        <v>43585</v>
      </c>
      <c r="Z11" s="3">
        <v>8</v>
      </c>
      <c r="AA11" s="6">
        <f t="shared" si="5"/>
        <v>43678</v>
      </c>
      <c r="AB11" s="6">
        <f t="shared" si="6"/>
        <v>43708</v>
      </c>
    </row>
    <row r="12" spans="1:31" x14ac:dyDescent="0.2">
      <c r="A12" s="3">
        <v>3</v>
      </c>
      <c r="B12" s="3">
        <v>10</v>
      </c>
      <c r="C12" s="3">
        <v>2.5</v>
      </c>
      <c r="E12" s="2" t="s">
        <v>21</v>
      </c>
      <c r="F12" s="2" t="s">
        <v>22</v>
      </c>
      <c r="G12" s="2">
        <f>VLOOKUP(G7,A4:C6,2)</f>
        <v>7</v>
      </c>
      <c r="I12" s="2" t="s">
        <v>65</v>
      </c>
      <c r="J12" s="2" t="s">
        <v>66</v>
      </c>
      <c r="K12" s="4">
        <v>1</v>
      </c>
      <c r="L12" s="4">
        <v>0</v>
      </c>
      <c r="N12" s="7">
        <v>72887.5</v>
      </c>
      <c r="O12" s="7">
        <v>17575.689999999999</v>
      </c>
      <c r="P12" s="33">
        <v>0.32</v>
      </c>
      <c r="R12" s="3">
        <f t="shared" si="0"/>
        <v>9</v>
      </c>
      <c r="S12" s="6">
        <f t="shared" si="1"/>
        <v>43521</v>
      </c>
      <c r="T12" s="6">
        <f t="shared" si="2"/>
        <v>43527</v>
      </c>
      <c r="V12" s="3">
        <v>9</v>
      </c>
      <c r="W12" s="6">
        <f t="shared" si="3"/>
        <v>43586</v>
      </c>
      <c r="X12" s="6">
        <f t="shared" si="4"/>
        <v>43600</v>
      </c>
      <c r="Z12" s="3">
        <v>9</v>
      </c>
      <c r="AA12" s="6">
        <f t="shared" si="5"/>
        <v>43709</v>
      </c>
      <c r="AB12" s="6">
        <f t="shared" si="6"/>
        <v>43738</v>
      </c>
    </row>
    <row r="13" spans="1:31" x14ac:dyDescent="0.2">
      <c r="A13" s="3">
        <v>4</v>
      </c>
      <c r="B13" s="3">
        <v>12</v>
      </c>
      <c r="C13" s="3">
        <v>3</v>
      </c>
      <c r="E13" s="2" t="s">
        <v>23</v>
      </c>
      <c r="F13" s="2" t="s">
        <v>24</v>
      </c>
      <c r="G13" s="2">
        <v>30.4</v>
      </c>
      <c r="I13" s="2" t="s">
        <v>67</v>
      </c>
      <c r="J13" s="2" t="s">
        <v>68</v>
      </c>
      <c r="K13" s="4">
        <v>5</v>
      </c>
      <c r="L13" s="4">
        <v>0</v>
      </c>
      <c r="N13" s="7">
        <v>97183.33</v>
      </c>
      <c r="O13" s="7">
        <v>25350.35</v>
      </c>
      <c r="P13" s="33">
        <v>0.34</v>
      </c>
      <c r="R13" s="3">
        <f t="shared" si="0"/>
        <v>10</v>
      </c>
      <c r="S13" s="6">
        <f t="shared" si="1"/>
        <v>43528</v>
      </c>
      <c r="T13" s="6">
        <f t="shared" si="2"/>
        <v>43534</v>
      </c>
      <c r="V13" s="3">
        <v>10</v>
      </c>
      <c r="W13" s="6">
        <f t="shared" si="3"/>
        <v>43601</v>
      </c>
      <c r="X13" s="6">
        <f>EOMONTH(W13,0)</f>
        <v>43616</v>
      </c>
      <c r="Z13" s="3">
        <v>10</v>
      </c>
      <c r="AA13" s="6">
        <f t="shared" si="5"/>
        <v>43739</v>
      </c>
      <c r="AB13" s="6">
        <f t="shared" si="6"/>
        <v>43769</v>
      </c>
    </row>
    <row r="14" spans="1:31" x14ac:dyDescent="0.2">
      <c r="A14" s="3">
        <v>5</v>
      </c>
      <c r="B14" s="3">
        <v>14</v>
      </c>
      <c r="C14" s="3">
        <v>3.5</v>
      </c>
      <c r="E14" s="2" t="s">
        <v>25</v>
      </c>
      <c r="F14" s="2" t="s">
        <v>26</v>
      </c>
      <c r="G14" s="2">
        <v>61</v>
      </c>
      <c r="I14" s="2" t="s">
        <v>69</v>
      </c>
      <c r="J14" s="2" t="s">
        <v>70</v>
      </c>
      <c r="K14" s="4">
        <v>25</v>
      </c>
      <c r="L14" s="4"/>
      <c r="N14" s="7">
        <v>291550</v>
      </c>
      <c r="O14" s="7">
        <v>91435.02</v>
      </c>
      <c r="P14" s="33">
        <v>0.35</v>
      </c>
      <c r="R14" s="3">
        <f t="shared" si="0"/>
        <v>11</v>
      </c>
      <c r="S14" s="6">
        <f t="shared" si="1"/>
        <v>43535</v>
      </c>
      <c r="T14" s="6">
        <f t="shared" si="2"/>
        <v>43541</v>
      </c>
      <c r="V14" s="3">
        <v>11</v>
      </c>
      <c r="W14" s="6">
        <f t="shared" si="3"/>
        <v>43617</v>
      </c>
      <c r="X14" s="6">
        <f t="shared" si="4"/>
        <v>43631</v>
      </c>
      <c r="Z14" s="3">
        <v>11</v>
      </c>
      <c r="AA14" s="6">
        <f t="shared" si="5"/>
        <v>43770</v>
      </c>
      <c r="AB14" s="6">
        <f t="shared" si="6"/>
        <v>43799</v>
      </c>
    </row>
    <row r="15" spans="1:31" x14ac:dyDescent="0.2">
      <c r="A15" s="3">
        <v>10</v>
      </c>
      <c r="B15" s="3">
        <v>16</v>
      </c>
      <c r="C15" s="3">
        <v>4</v>
      </c>
      <c r="E15" s="2" t="s">
        <v>27</v>
      </c>
      <c r="F15" s="3">
        <f>VLOOKUP(G15,{"Domingo",1;"Lunes",2},2,0)</f>
        <v>2</v>
      </c>
      <c r="G15" s="9" t="s">
        <v>28</v>
      </c>
      <c r="R15" s="3">
        <f t="shared" si="0"/>
        <v>12</v>
      </c>
      <c r="S15" s="6">
        <f t="shared" si="1"/>
        <v>43542</v>
      </c>
      <c r="T15" s="6">
        <f t="shared" si="2"/>
        <v>43548</v>
      </c>
      <c r="V15" s="3">
        <v>12</v>
      </c>
      <c r="W15" s="6">
        <f t="shared" si="3"/>
        <v>43632</v>
      </c>
      <c r="X15" s="6">
        <f>EOMONTH(W15,0)</f>
        <v>43646</v>
      </c>
      <c r="Z15" s="3">
        <v>12</v>
      </c>
      <c r="AA15" s="6">
        <f t="shared" si="5"/>
        <v>43800</v>
      </c>
      <c r="AB15" s="6">
        <f t="shared" si="6"/>
        <v>43830</v>
      </c>
    </row>
    <row r="16" spans="1:31" x14ac:dyDescent="0.2">
      <c r="A16" s="3">
        <v>15</v>
      </c>
      <c r="B16" s="3">
        <v>18</v>
      </c>
      <c r="C16" s="3">
        <v>4.5</v>
      </c>
      <c r="E16" s="2" t="s">
        <v>29</v>
      </c>
      <c r="F16" s="2" t="s">
        <v>30</v>
      </c>
      <c r="G16" s="2">
        <v>15</v>
      </c>
      <c r="N16" s="93" t="s">
        <v>79</v>
      </c>
      <c r="O16" s="93"/>
      <c r="P16" s="93"/>
      <c r="R16" s="3">
        <f t="shared" si="0"/>
        <v>13</v>
      </c>
      <c r="S16" s="6">
        <f t="shared" si="1"/>
        <v>43549</v>
      </c>
      <c r="T16" s="6">
        <f t="shared" si="2"/>
        <v>43555</v>
      </c>
      <c r="V16" s="3">
        <v>13</v>
      </c>
      <c r="W16" s="6">
        <f t="shared" si="3"/>
        <v>43647</v>
      </c>
      <c r="X16" s="6">
        <f t="shared" si="4"/>
        <v>43661</v>
      </c>
      <c r="Z16" s="3"/>
      <c r="AA16" s="6"/>
      <c r="AB16" s="6"/>
    </row>
    <row r="17" spans="1:28" x14ac:dyDescent="0.2">
      <c r="A17" s="3">
        <v>20</v>
      </c>
      <c r="B17" s="3">
        <v>20</v>
      </c>
      <c r="C17" s="3">
        <v>5</v>
      </c>
      <c r="E17" s="2" t="s">
        <v>31</v>
      </c>
      <c r="F17" s="2" t="s">
        <v>32</v>
      </c>
      <c r="G17" s="2">
        <v>0.25</v>
      </c>
      <c r="N17" s="8" t="s">
        <v>76</v>
      </c>
      <c r="O17" s="8" t="s">
        <v>77</v>
      </c>
      <c r="P17" s="8" t="s">
        <v>78</v>
      </c>
      <c r="R17" s="3">
        <f t="shared" si="0"/>
        <v>14</v>
      </c>
      <c r="S17" s="6">
        <f t="shared" si="1"/>
        <v>43556</v>
      </c>
      <c r="T17" s="6">
        <f t="shared" si="2"/>
        <v>43562</v>
      </c>
      <c r="V17" s="3">
        <v>14</v>
      </c>
      <c r="W17" s="6">
        <f t="shared" si="3"/>
        <v>43662</v>
      </c>
      <c r="X17" s="6">
        <f>EOMONTH(W17,0)</f>
        <v>43677</v>
      </c>
      <c r="Z17" s="3"/>
      <c r="AA17" s="6"/>
      <c r="AB17" s="6"/>
    </row>
    <row r="18" spans="1:28" x14ac:dyDescent="0.2">
      <c r="A18" s="3">
        <v>25</v>
      </c>
      <c r="B18" s="3">
        <v>22</v>
      </c>
      <c r="C18" s="3">
        <v>5.5</v>
      </c>
      <c r="E18" s="2" t="s">
        <v>188</v>
      </c>
      <c r="F18" s="2" t="s">
        <v>209</v>
      </c>
      <c r="G18" s="2">
        <v>0.25</v>
      </c>
      <c r="N18" s="7">
        <v>0.01</v>
      </c>
      <c r="O18" s="7">
        <v>0</v>
      </c>
      <c r="P18" s="7">
        <v>1.92</v>
      </c>
      <c r="R18" s="3">
        <f t="shared" si="0"/>
        <v>15</v>
      </c>
      <c r="S18" s="6">
        <f t="shared" si="1"/>
        <v>43563</v>
      </c>
      <c r="T18" s="6">
        <f t="shared" si="2"/>
        <v>43569</v>
      </c>
      <c r="V18" s="3">
        <v>15</v>
      </c>
      <c r="W18" s="6">
        <f t="shared" si="3"/>
        <v>43678</v>
      </c>
      <c r="X18" s="6">
        <f t="shared" si="4"/>
        <v>43692</v>
      </c>
      <c r="Z18" s="3"/>
      <c r="AA18" s="6"/>
      <c r="AB18" s="6"/>
    </row>
    <row r="19" spans="1:28" x14ac:dyDescent="0.2">
      <c r="A19" s="3">
        <v>30</v>
      </c>
      <c r="B19" s="3">
        <v>24</v>
      </c>
      <c r="C19" s="3">
        <v>6</v>
      </c>
      <c r="N19" s="7">
        <v>5952.84</v>
      </c>
      <c r="O19" s="7">
        <v>114.29</v>
      </c>
      <c r="P19" s="7">
        <v>6.4</v>
      </c>
      <c r="R19" s="3">
        <f t="shared" si="0"/>
        <v>16</v>
      </c>
      <c r="S19" s="6">
        <f t="shared" si="1"/>
        <v>43570</v>
      </c>
      <c r="T19" s="6">
        <f t="shared" si="2"/>
        <v>43576</v>
      </c>
      <c r="V19" s="3">
        <v>16</v>
      </c>
      <c r="W19" s="6">
        <f t="shared" si="3"/>
        <v>43693</v>
      </c>
      <c r="X19" s="6">
        <f>EOMONTH(W19,0)</f>
        <v>43708</v>
      </c>
      <c r="Z19" s="3"/>
      <c r="AA19" s="6"/>
      <c r="AB19" s="6"/>
    </row>
    <row r="20" spans="1:28" x14ac:dyDescent="0.2">
      <c r="E20" s="2" t="s">
        <v>33</v>
      </c>
      <c r="F20" s="2" t="s">
        <v>34</v>
      </c>
      <c r="G20" s="5">
        <v>102.68</v>
      </c>
      <c r="N20" s="7">
        <v>50524.92</v>
      </c>
      <c r="O20" s="7">
        <v>2966.91</v>
      </c>
      <c r="P20" s="7">
        <v>10.879999999999999</v>
      </c>
      <c r="R20" s="3">
        <f t="shared" si="0"/>
        <v>17</v>
      </c>
      <c r="S20" s="6">
        <f t="shared" si="1"/>
        <v>43577</v>
      </c>
      <c r="T20" s="6">
        <f t="shared" si="2"/>
        <v>43583</v>
      </c>
      <c r="V20" s="3">
        <v>17</v>
      </c>
      <c r="W20" s="6">
        <f t="shared" si="3"/>
        <v>43709</v>
      </c>
      <c r="X20" s="6">
        <f t="shared" si="4"/>
        <v>43723</v>
      </c>
      <c r="Z20" s="3"/>
      <c r="AA20" s="6"/>
      <c r="AB20" s="6"/>
    </row>
    <row r="21" spans="1:28" x14ac:dyDescent="0.2">
      <c r="E21" s="2" t="s">
        <v>35</v>
      </c>
      <c r="F21" s="2" t="s">
        <v>36</v>
      </c>
      <c r="G21" s="5">
        <v>84.49</v>
      </c>
      <c r="N21" s="7">
        <v>88793.04</v>
      </c>
      <c r="O21" s="7">
        <v>7130.48</v>
      </c>
      <c r="P21" s="7">
        <v>16</v>
      </c>
      <c r="R21" s="3">
        <f t="shared" si="0"/>
        <v>18</v>
      </c>
      <c r="S21" s="6">
        <f t="shared" si="1"/>
        <v>43584</v>
      </c>
      <c r="T21" s="6">
        <f t="shared" si="2"/>
        <v>43590</v>
      </c>
      <c r="V21" s="3">
        <v>18</v>
      </c>
      <c r="W21" s="6">
        <f t="shared" si="3"/>
        <v>43724</v>
      </c>
      <c r="X21" s="6">
        <f>EOMONTH(W21,0)</f>
        <v>43738</v>
      </c>
      <c r="Z21" s="3"/>
      <c r="AA21" s="6"/>
      <c r="AB21" s="6"/>
    </row>
    <row r="22" spans="1:28" x14ac:dyDescent="0.2">
      <c r="E22" s="2" t="s">
        <v>37</v>
      </c>
      <c r="F22" s="2" t="s">
        <v>38</v>
      </c>
      <c r="G22" s="5">
        <v>78.430000000000007</v>
      </c>
      <c r="N22" s="7">
        <v>103218</v>
      </c>
      <c r="O22" s="7">
        <v>9438.4699999999993</v>
      </c>
      <c r="P22" s="7">
        <v>17.919999999999998</v>
      </c>
      <c r="R22" s="3">
        <f t="shared" si="0"/>
        <v>19</v>
      </c>
      <c r="S22" s="6">
        <f t="shared" si="1"/>
        <v>43591</v>
      </c>
      <c r="T22" s="6">
        <f t="shared" si="2"/>
        <v>43597</v>
      </c>
      <c r="V22" s="3">
        <v>19</v>
      </c>
      <c r="W22" s="6">
        <f t="shared" si="3"/>
        <v>43739</v>
      </c>
      <c r="X22" s="6">
        <f t="shared" si="4"/>
        <v>43753</v>
      </c>
      <c r="Z22" s="3"/>
      <c r="AA22" s="6"/>
      <c r="AB22" s="6"/>
    </row>
    <row r="23" spans="1:28" x14ac:dyDescent="0.2">
      <c r="E23" s="2" t="s">
        <v>39</v>
      </c>
      <c r="F23" s="2" t="s">
        <v>40</v>
      </c>
      <c r="G23" s="5">
        <v>0</v>
      </c>
      <c r="N23" s="7">
        <v>123580.2</v>
      </c>
      <c r="O23" s="7">
        <v>13087.37</v>
      </c>
      <c r="P23" s="7">
        <v>21.36</v>
      </c>
      <c r="R23" s="3">
        <f t="shared" si="0"/>
        <v>20</v>
      </c>
      <c r="S23" s="6">
        <f t="shared" si="1"/>
        <v>43598</v>
      </c>
      <c r="T23" s="6">
        <f t="shared" si="2"/>
        <v>43604</v>
      </c>
      <c r="V23" s="3">
        <v>20</v>
      </c>
      <c r="W23" s="6">
        <f t="shared" si="3"/>
        <v>43754</v>
      </c>
      <c r="X23" s="6">
        <f>EOMONTH(W23,0)</f>
        <v>43769</v>
      </c>
      <c r="Z23" s="3"/>
      <c r="AA23" s="6"/>
      <c r="AB23" s="6"/>
    </row>
    <row r="24" spans="1:28" x14ac:dyDescent="0.2">
      <c r="E24" s="2" t="s">
        <v>41</v>
      </c>
      <c r="F24" s="2" t="s">
        <v>42</v>
      </c>
      <c r="G24" s="5">
        <f>G21*3</f>
        <v>253.46999999999997</v>
      </c>
      <c r="N24" s="7">
        <v>249243.48</v>
      </c>
      <c r="O24" s="7">
        <v>39929.050000000003</v>
      </c>
      <c r="P24" s="7">
        <v>23.52</v>
      </c>
      <c r="R24" s="3">
        <f t="shared" si="0"/>
        <v>21</v>
      </c>
      <c r="S24" s="6">
        <f t="shared" si="1"/>
        <v>43605</v>
      </c>
      <c r="T24" s="6">
        <f t="shared" si="2"/>
        <v>43611</v>
      </c>
      <c r="V24" s="3">
        <v>21</v>
      </c>
      <c r="W24" s="6">
        <f t="shared" si="3"/>
        <v>43770</v>
      </c>
      <c r="X24" s="6">
        <f t="shared" si="4"/>
        <v>43784</v>
      </c>
      <c r="Z24" s="3"/>
      <c r="AA24" s="6"/>
      <c r="AB24" s="6"/>
    </row>
    <row r="25" spans="1:28" x14ac:dyDescent="0.2">
      <c r="N25" s="7">
        <v>392841.96</v>
      </c>
      <c r="O25" s="7">
        <v>73703.41</v>
      </c>
      <c r="P25" s="7">
        <v>30</v>
      </c>
      <c r="R25" s="3">
        <f t="shared" si="0"/>
        <v>22</v>
      </c>
      <c r="S25" s="6">
        <f t="shared" si="1"/>
        <v>43612</v>
      </c>
      <c r="T25" s="6">
        <f t="shared" si="2"/>
        <v>43618</v>
      </c>
      <c r="V25" s="3">
        <v>22</v>
      </c>
      <c r="W25" s="6">
        <f t="shared" si="3"/>
        <v>43785</v>
      </c>
      <c r="X25" s="6">
        <f>EOMONTH(W25,0)</f>
        <v>43799</v>
      </c>
      <c r="Z25" s="3"/>
      <c r="AA25" s="6"/>
      <c r="AB25" s="6"/>
    </row>
    <row r="26" spans="1:28" x14ac:dyDescent="0.2">
      <c r="E26" s="2" t="s">
        <v>43</v>
      </c>
      <c r="F26" s="2" t="s">
        <v>44</v>
      </c>
      <c r="G26" s="32">
        <f>G13/G12</f>
        <v>4.3428571428571425</v>
      </c>
      <c r="N26" s="7">
        <v>750000</v>
      </c>
      <c r="O26" s="7">
        <v>180850.82</v>
      </c>
      <c r="P26" s="7">
        <v>32</v>
      </c>
      <c r="R26" s="3">
        <f t="shared" si="0"/>
        <v>23</v>
      </c>
      <c r="S26" s="6">
        <f t="shared" si="1"/>
        <v>43619</v>
      </c>
      <c r="T26" s="6">
        <f t="shared" si="2"/>
        <v>43625</v>
      </c>
      <c r="V26" s="3">
        <v>23</v>
      </c>
      <c r="W26" s="6">
        <f t="shared" si="3"/>
        <v>43800</v>
      </c>
      <c r="X26" s="6">
        <f t="shared" si="4"/>
        <v>43814</v>
      </c>
      <c r="Z26" s="3"/>
      <c r="AA26" s="6"/>
      <c r="AB26" s="6"/>
    </row>
    <row r="27" spans="1:28" x14ac:dyDescent="0.2">
      <c r="N27" s="7">
        <v>1000000</v>
      </c>
      <c r="O27" s="7">
        <v>260850.81</v>
      </c>
      <c r="P27" s="7">
        <v>34</v>
      </c>
      <c r="R27" s="3">
        <f t="shared" si="0"/>
        <v>24</v>
      </c>
      <c r="S27" s="6">
        <f t="shared" ref="S27:S43" si="7">S26+7</f>
        <v>43626</v>
      </c>
      <c r="T27" s="6">
        <f t="shared" si="2"/>
        <v>43632</v>
      </c>
      <c r="V27" s="3">
        <v>24</v>
      </c>
      <c r="W27" s="6">
        <f t="shared" si="3"/>
        <v>43815</v>
      </c>
      <c r="X27" s="6">
        <f>EOMONTH(W27,0)</f>
        <v>43830</v>
      </c>
      <c r="Z27" s="3"/>
      <c r="AA27" s="6"/>
      <c r="AB27" s="6"/>
    </row>
    <row r="28" spans="1:28" x14ac:dyDescent="0.2">
      <c r="N28" s="7">
        <v>3000000</v>
      </c>
      <c r="O28" s="7">
        <v>940850.81</v>
      </c>
      <c r="P28" s="7">
        <v>35</v>
      </c>
      <c r="R28" s="3">
        <f t="shared" si="0"/>
        <v>25</v>
      </c>
      <c r="S28" s="6">
        <f t="shared" si="7"/>
        <v>43633</v>
      </c>
      <c r="T28" s="6">
        <f t="shared" si="2"/>
        <v>43639</v>
      </c>
      <c r="V28" s="3"/>
      <c r="W28" s="6"/>
      <c r="X28" s="6"/>
      <c r="Z28" s="3"/>
      <c r="AA28" s="6"/>
      <c r="AB28" s="6"/>
    </row>
    <row r="29" spans="1:28" x14ac:dyDescent="0.2">
      <c r="R29" s="3">
        <f t="shared" si="0"/>
        <v>26</v>
      </c>
      <c r="S29" s="6">
        <f t="shared" si="7"/>
        <v>43640</v>
      </c>
      <c r="T29" s="6">
        <f t="shared" si="2"/>
        <v>43646</v>
      </c>
      <c r="V29" s="3"/>
      <c r="W29" s="6"/>
      <c r="X29" s="6"/>
      <c r="Z29" s="3"/>
      <c r="AA29" s="6"/>
      <c r="AB29" s="6"/>
    </row>
    <row r="30" spans="1:28" x14ac:dyDescent="0.2">
      <c r="N30" s="93" t="s">
        <v>80</v>
      </c>
      <c r="O30" s="93"/>
      <c r="P30" s="93"/>
      <c r="R30" s="3">
        <f t="shared" si="0"/>
        <v>27</v>
      </c>
      <c r="S30" s="6">
        <f t="shared" si="7"/>
        <v>43647</v>
      </c>
      <c r="T30" s="6">
        <f t="shared" si="2"/>
        <v>43653</v>
      </c>
      <c r="V30" s="3"/>
      <c r="W30" s="6"/>
      <c r="X30" s="6"/>
      <c r="Z30" s="3"/>
      <c r="AA30" s="6"/>
      <c r="AB30" s="6"/>
    </row>
    <row r="31" spans="1:28" x14ac:dyDescent="0.2">
      <c r="N31" s="8" t="s">
        <v>76</v>
      </c>
      <c r="O31" s="8" t="s">
        <v>77</v>
      </c>
      <c r="P31" s="8" t="s">
        <v>78</v>
      </c>
      <c r="R31" s="3">
        <f t="shared" si="0"/>
        <v>28</v>
      </c>
      <c r="S31" s="6">
        <f t="shared" si="7"/>
        <v>43654</v>
      </c>
      <c r="T31" s="6">
        <f t="shared" si="2"/>
        <v>43660</v>
      </c>
      <c r="V31" s="3"/>
      <c r="W31" s="6"/>
      <c r="X31" s="6"/>
      <c r="Z31" s="3"/>
      <c r="AA31" s="6"/>
      <c r="AB31" s="6"/>
    </row>
    <row r="32" spans="1:28" x14ac:dyDescent="0.2">
      <c r="N32" s="7">
        <v>0.01</v>
      </c>
      <c r="O32" s="7">
        <v>407.02</v>
      </c>
      <c r="P32" s="7">
        <v>0</v>
      </c>
      <c r="R32" s="3">
        <f t="shared" si="0"/>
        <v>29</v>
      </c>
      <c r="S32" s="6">
        <f t="shared" si="7"/>
        <v>43661</v>
      </c>
      <c r="T32" s="6">
        <f t="shared" si="2"/>
        <v>43667</v>
      </c>
      <c r="V32" s="3"/>
      <c r="W32" s="6"/>
      <c r="X32" s="6"/>
      <c r="Z32" s="3"/>
      <c r="AA32" s="6"/>
      <c r="AB32" s="6"/>
    </row>
    <row r="33" spans="14:28" x14ac:dyDescent="0.2">
      <c r="N33" s="7">
        <v>1768.96</v>
      </c>
      <c r="O33" s="7">
        <v>406.83</v>
      </c>
      <c r="P33" s="7">
        <v>0</v>
      </c>
      <c r="R33" s="3">
        <f t="shared" si="0"/>
        <v>30</v>
      </c>
      <c r="S33" s="6">
        <f t="shared" si="7"/>
        <v>43668</v>
      </c>
      <c r="T33" s="6">
        <f t="shared" si="2"/>
        <v>43674</v>
      </c>
      <c r="V33" s="3"/>
      <c r="W33" s="6"/>
      <c r="X33" s="6"/>
      <c r="Z33" s="3"/>
      <c r="AA33" s="6"/>
      <c r="AB33" s="6"/>
    </row>
    <row r="34" spans="14:28" x14ac:dyDescent="0.2">
      <c r="N34" s="7">
        <v>2653.38</v>
      </c>
      <c r="O34" s="7">
        <v>406.62</v>
      </c>
      <c r="P34" s="7">
        <v>0</v>
      </c>
      <c r="R34" s="3">
        <f t="shared" si="0"/>
        <v>31</v>
      </c>
      <c r="S34" s="6">
        <f t="shared" si="7"/>
        <v>43675</v>
      </c>
      <c r="T34" s="6">
        <f t="shared" si="2"/>
        <v>43681</v>
      </c>
      <c r="V34" s="3"/>
      <c r="W34" s="6"/>
      <c r="X34" s="6"/>
      <c r="Z34" s="3"/>
      <c r="AA34" s="6"/>
      <c r="AB34" s="6"/>
    </row>
    <row r="35" spans="14:28" x14ac:dyDescent="0.2">
      <c r="N35" s="7">
        <v>3472.84</v>
      </c>
      <c r="O35" s="7">
        <v>392.77</v>
      </c>
      <c r="P35" s="7">
        <v>0</v>
      </c>
      <c r="R35" s="3">
        <f t="shared" si="0"/>
        <v>32</v>
      </c>
      <c r="S35" s="6">
        <f t="shared" si="7"/>
        <v>43682</v>
      </c>
      <c r="T35" s="6">
        <f t="shared" si="2"/>
        <v>43688</v>
      </c>
      <c r="V35" s="3"/>
      <c r="W35" s="6"/>
      <c r="X35" s="6"/>
      <c r="Z35" s="3"/>
      <c r="AA35" s="6"/>
      <c r="AB35" s="6"/>
    </row>
    <row r="36" spans="14:28" x14ac:dyDescent="0.2">
      <c r="N36" s="7">
        <v>3537.87</v>
      </c>
      <c r="O36" s="7">
        <v>382.46</v>
      </c>
      <c r="P36" s="7">
        <v>0</v>
      </c>
      <c r="R36" s="3">
        <f t="shared" si="0"/>
        <v>33</v>
      </c>
      <c r="S36" s="6">
        <f t="shared" si="7"/>
        <v>43689</v>
      </c>
      <c r="T36" s="6">
        <f t="shared" si="2"/>
        <v>43695</v>
      </c>
      <c r="V36" s="3"/>
      <c r="W36" s="6"/>
      <c r="X36" s="6"/>
      <c r="Z36" s="3"/>
      <c r="AA36" s="6"/>
      <c r="AB36" s="6"/>
    </row>
    <row r="37" spans="14:28" x14ac:dyDescent="0.2">
      <c r="N37" s="7">
        <v>4446.1499999999996</v>
      </c>
      <c r="O37" s="7">
        <v>354.23</v>
      </c>
      <c r="P37" s="7">
        <v>0</v>
      </c>
      <c r="R37" s="3">
        <f t="shared" si="0"/>
        <v>34</v>
      </c>
      <c r="S37" s="6">
        <f t="shared" si="7"/>
        <v>43696</v>
      </c>
      <c r="T37" s="6">
        <f t="shared" si="2"/>
        <v>43702</v>
      </c>
      <c r="V37" s="3"/>
      <c r="W37" s="6"/>
      <c r="X37" s="6"/>
      <c r="Z37" s="3"/>
      <c r="AA37" s="6"/>
      <c r="AB37" s="6"/>
    </row>
    <row r="38" spans="14:28" x14ac:dyDescent="0.2">
      <c r="N38" s="7">
        <v>4717.18</v>
      </c>
      <c r="O38" s="7">
        <v>324.87</v>
      </c>
      <c r="P38" s="7">
        <v>0</v>
      </c>
      <c r="R38" s="3">
        <f t="shared" si="0"/>
        <v>35</v>
      </c>
      <c r="S38" s="6">
        <f t="shared" si="7"/>
        <v>43703</v>
      </c>
      <c r="T38" s="6">
        <f t="shared" si="2"/>
        <v>43709</v>
      </c>
      <c r="V38" s="3"/>
      <c r="W38" s="6"/>
      <c r="X38" s="6"/>
      <c r="Z38" s="3"/>
      <c r="AA38" s="6"/>
      <c r="AB38" s="6"/>
    </row>
    <row r="39" spans="14:28" x14ac:dyDescent="0.2">
      <c r="N39" s="7">
        <v>5335.42</v>
      </c>
      <c r="O39" s="7">
        <v>294.63</v>
      </c>
      <c r="P39" s="7">
        <v>0</v>
      </c>
      <c r="R39" s="3">
        <f t="shared" si="0"/>
        <v>36</v>
      </c>
      <c r="S39" s="6">
        <f t="shared" si="7"/>
        <v>43710</v>
      </c>
      <c r="T39" s="6">
        <f t="shared" si="2"/>
        <v>43716</v>
      </c>
      <c r="V39" s="3"/>
      <c r="W39" s="6"/>
      <c r="X39" s="6"/>
      <c r="Z39" s="3"/>
      <c r="AA39" s="6"/>
      <c r="AB39" s="6"/>
    </row>
    <row r="40" spans="14:28" x14ac:dyDescent="0.2">
      <c r="N40" s="7">
        <v>6224.67</v>
      </c>
      <c r="O40" s="7">
        <v>253.54</v>
      </c>
      <c r="P40" s="7">
        <v>0</v>
      </c>
      <c r="R40" s="3">
        <f t="shared" si="0"/>
        <v>37</v>
      </c>
      <c r="S40" s="6">
        <f t="shared" si="7"/>
        <v>43717</v>
      </c>
      <c r="T40" s="6">
        <f t="shared" si="2"/>
        <v>43723</v>
      </c>
      <c r="V40" s="3"/>
      <c r="W40" s="6"/>
      <c r="X40" s="6"/>
      <c r="Z40" s="3"/>
      <c r="AA40" s="6"/>
      <c r="AB40" s="6"/>
    </row>
    <row r="41" spans="14:28" x14ac:dyDescent="0.2">
      <c r="N41" s="7">
        <v>7113.9</v>
      </c>
      <c r="O41" s="7">
        <v>217.61</v>
      </c>
      <c r="P41" s="7">
        <v>0</v>
      </c>
      <c r="R41" s="3">
        <f t="shared" si="0"/>
        <v>38</v>
      </c>
      <c r="S41" s="6">
        <f t="shared" si="7"/>
        <v>43724</v>
      </c>
      <c r="T41" s="6">
        <f t="shared" si="2"/>
        <v>43730</v>
      </c>
      <c r="V41" s="3"/>
      <c r="W41" s="6"/>
      <c r="X41" s="6"/>
      <c r="Z41" s="3"/>
      <c r="AA41" s="6"/>
      <c r="AB41" s="6"/>
    </row>
    <row r="42" spans="14:28" x14ac:dyDescent="0.2">
      <c r="N42" s="7">
        <v>7382.33</v>
      </c>
      <c r="O42" s="7">
        <v>0</v>
      </c>
      <c r="P42" s="7">
        <v>0</v>
      </c>
      <c r="R42" s="3">
        <f t="shared" si="0"/>
        <v>39</v>
      </c>
      <c r="S42" s="6">
        <f t="shared" si="7"/>
        <v>43731</v>
      </c>
      <c r="T42" s="6">
        <f t="shared" si="2"/>
        <v>43737</v>
      </c>
      <c r="V42" s="3"/>
      <c r="W42" s="6"/>
      <c r="X42" s="6"/>
      <c r="Z42" s="3"/>
      <c r="AA42" s="6"/>
      <c r="AB42" s="6"/>
    </row>
    <row r="43" spans="14:28" x14ac:dyDescent="0.2">
      <c r="R43" s="3">
        <f t="shared" si="0"/>
        <v>40</v>
      </c>
      <c r="S43" s="6">
        <f t="shared" si="7"/>
        <v>43738</v>
      </c>
      <c r="T43" s="6">
        <f t="shared" si="2"/>
        <v>43744</v>
      </c>
      <c r="V43" s="3"/>
      <c r="W43" s="6"/>
      <c r="X43" s="6"/>
      <c r="Z43" s="3"/>
      <c r="AA43" s="6"/>
      <c r="AB43" s="6"/>
    </row>
    <row r="44" spans="14:28" x14ac:dyDescent="0.2">
      <c r="R44" s="3">
        <f t="shared" si="0"/>
        <v>41</v>
      </c>
      <c r="S44" s="6">
        <f t="shared" ref="S44:S54" si="8">S43+7</f>
        <v>43745</v>
      </c>
      <c r="T44" s="6">
        <f t="shared" si="2"/>
        <v>43751</v>
      </c>
      <c r="V44" s="3"/>
      <c r="W44" s="6"/>
      <c r="X44" s="6"/>
      <c r="Z44" s="3"/>
      <c r="AA44" s="6"/>
      <c r="AB44" s="6"/>
    </row>
    <row r="45" spans="14:28" x14ac:dyDescent="0.2">
      <c r="R45" s="3">
        <f t="shared" si="0"/>
        <v>42</v>
      </c>
      <c r="S45" s="6">
        <f t="shared" si="8"/>
        <v>43752</v>
      </c>
      <c r="T45" s="6">
        <f t="shared" si="2"/>
        <v>43758</v>
      </c>
      <c r="V45" s="3"/>
      <c r="W45" s="6"/>
      <c r="X45" s="6"/>
      <c r="Z45" s="3"/>
      <c r="AA45" s="6"/>
      <c r="AB45" s="6"/>
    </row>
    <row r="46" spans="14:28" x14ac:dyDescent="0.2">
      <c r="R46" s="3">
        <f t="shared" si="0"/>
        <v>43</v>
      </c>
      <c r="S46" s="6">
        <f t="shared" si="8"/>
        <v>43759</v>
      </c>
      <c r="T46" s="6">
        <f t="shared" si="2"/>
        <v>43765</v>
      </c>
      <c r="V46" s="3"/>
      <c r="W46" s="6"/>
      <c r="X46" s="6"/>
      <c r="Z46" s="3"/>
      <c r="AA46" s="6"/>
      <c r="AB46" s="6"/>
    </row>
    <row r="47" spans="14:28" x14ac:dyDescent="0.2">
      <c r="R47" s="3">
        <f t="shared" si="0"/>
        <v>44</v>
      </c>
      <c r="S47" s="6">
        <f t="shared" si="8"/>
        <v>43766</v>
      </c>
      <c r="T47" s="6">
        <f t="shared" si="2"/>
        <v>43772</v>
      </c>
      <c r="V47" s="3"/>
      <c r="W47" s="6"/>
      <c r="X47" s="6"/>
      <c r="Z47" s="3"/>
      <c r="AA47" s="6"/>
      <c r="AB47" s="6"/>
    </row>
    <row r="48" spans="14:28" x14ac:dyDescent="0.2">
      <c r="R48" s="3">
        <f t="shared" si="0"/>
        <v>45</v>
      </c>
      <c r="S48" s="6">
        <f t="shared" si="8"/>
        <v>43773</v>
      </c>
      <c r="T48" s="6">
        <f t="shared" si="2"/>
        <v>43779</v>
      </c>
      <c r="V48" s="3"/>
      <c r="W48" s="6"/>
      <c r="X48" s="6"/>
      <c r="Z48" s="3"/>
      <c r="AA48" s="6"/>
      <c r="AB48" s="6"/>
    </row>
    <row r="49" spans="18:28" x14ac:dyDescent="0.2">
      <c r="R49" s="3">
        <f t="shared" si="0"/>
        <v>46</v>
      </c>
      <c r="S49" s="6">
        <f t="shared" si="8"/>
        <v>43780</v>
      </c>
      <c r="T49" s="6">
        <f t="shared" si="2"/>
        <v>43786</v>
      </c>
      <c r="V49" s="3"/>
      <c r="W49" s="6"/>
      <c r="X49" s="6"/>
      <c r="Z49" s="3"/>
      <c r="AA49" s="6"/>
      <c r="AB49" s="6"/>
    </row>
    <row r="50" spans="18:28" x14ac:dyDescent="0.2">
      <c r="R50" s="3">
        <f t="shared" si="0"/>
        <v>47</v>
      </c>
      <c r="S50" s="6">
        <f t="shared" si="8"/>
        <v>43787</v>
      </c>
      <c r="T50" s="6">
        <f t="shared" si="2"/>
        <v>43793</v>
      </c>
      <c r="V50" s="3"/>
      <c r="W50" s="6"/>
      <c r="X50" s="6"/>
      <c r="Z50" s="3"/>
      <c r="AA50" s="6"/>
      <c r="AB50" s="6"/>
    </row>
    <row r="51" spans="18:28" x14ac:dyDescent="0.2">
      <c r="R51" s="3">
        <f t="shared" si="0"/>
        <v>48</v>
      </c>
      <c r="S51" s="6">
        <f t="shared" si="8"/>
        <v>43794</v>
      </c>
      <c r="T51" s="6">
        <f t="shared" si="2"/>
        <v>43800</v>
      </c>
      <c r="V51" s="3"/>
      <c r="W51" s="6"/>
      <c r="X51" s="6"/>
      <c r="Z51" s="3"/>
      <c r="AA51" s="6"/>
      <c r="AB51" s="6"/>
    </row>
    <row r="52" spans="18:28" x14ac:dyDescent="0.2">
      <c r="R52" s="3">
        <f t="shared" si="0"/>
        <v>49</v>
      </c>
      <c r="S52" s="6">
        <f t="shared" si="8"/>
        <v>43801</v>
      </c>
      <c r="T52" s="6">
        <f t="shared" si="2"/>
        <v>43807</v>
      </c>
      <c r="V52" s="3"/>
      <c r="W52" s="6"/>
      <c r="X52" s="6"/>
      <c r="Z52" s="3"/>
      <c r="AA52" s="6"/>
      <c r="AB52" s="6"/>
    </row>
    <row r="53" spans="18:28" x14ac:dyDescent="0.2">
      <c r="R53" s="3">
        <f t="shared" si="0"/>
        <v>50</v>
      </c>
      <c r="S53" s="6">
        <f t="shared" si="8"/>
        <v>43808</v>
      </c>
      <c r="T53" s="6">
        <f t="shared" si="2"/>
        <v>43814</v>
      </c>
      <c r="V53" s="3"/>
      <c r="W53" s="6"/>
      <c r="X53" s="6"/>
      <c r="Z53" s="3"/>
      <c r="AA53" s="6"/>
      <c r="AB53" s="6"/>
    </row>
    <row r="54" spans="18:28" x14ac:dyDescent="0.2">
      <c r="R54" s="3">
        <f t="shared" si="0"/>
        <v>51</v>
      </c>
      <c r="S54" s="6">
        <f t="shared" si="8"/>
        <v>43815</v>
      </c>
      <c r="T54" s="6">
        <f t="shared" si="2"/>
        <v>43821</v>
      </c>
      <c r="V54" s="3"/>
      <c r="W54" s="6"/>
      <c r="X54" s="6"/>
      <c r="Z54" s="3"/>
      <c r="AA54" s="6"/>
      <c r="AB54" s="6"/>
    </row>
    <row r="55" spans="18:28" x14ac:dyDescent="0.2">
      <c r="R55" s="3">
        <f t="shared" si="0"/>
        <v>52</v>
      </c>
      <c r="S55" s="6">
        <f t="shared" ref="S55" si="9">S54+7</f>
        <v>43822</v>
      </c>
      <c r="T55" s="6">
        <f t="shared" si="2"/>
        <v>43828</v>
      </c>
      <c r="V55" s="3"/>
      <c r="W55" s="6"/>
      <c r="X55" s="6"/>
      <c r="Z55" s="3"/>
      <c r="AA55" s="6"/>
      <c r="AB55" s="6"/>
    </row>
    <row r="56" spans="18:28" x14ac:dyDescent="0.2">
      <c r="R56" s="3"/>
      <c r="S56" s="6"/>
      <c r="T56" s="6"/>
      <c r="V56" s="3"/>
      <c r="W56" s="6"/>
      <c r="X56" s="6"/>
      <c r="Z56" s="3"/>
      <c r="AA56" s="6"/>
      <c r="AB56" s="6"/>
    </row>
    <row r="57" spans="18:28" x14ac:dyDescent="0.2">
      <c r="R57" s="3"/>
      <c r="S57" s="6"/>
      <c r="T57" s="6"/>
      <c r="V57" s="3"/>
      <c r="W57" s="6"/>
      <c r="X57" s="6"/>
      <c r="Z57" s="3"/>
      <c r="AA57" s="6"/>
      <c r="AB57" s="6"/>
    </row>
    <row r="58" spans="18:28" x14ac:dyDescent="0.2">
      <c r="R58" s="3"/>
      <c r="S58" s="6"/>
      <c r="T58" s="6"/>
      <c r="V58" s="3"/>
      <c r="W58" s="6"/>
      <c r="X58" s="6"/>
      <c r="Z58" s="3"/>
      <c r="AA58" s="6"/>
      <c r="AB58" s="6"/>
    </row>
  </sheetData>
  <sortState ref="A3:C5">
    <sortCondition ref="A3"/>
  </sortState>
  <mergeCells count="17">
    <mergeCell ref="AD2:AE2"/>
    <mergeCell ref="N30:P30"/>
    <mergeCell ref="R2:T2"/>
    <mergeCell ref="Q2:Q3"/>
    <mergeCell ref="N16:P16"/>
    <mergeCell ref="M2:M3"/>
    <mergeCell ref="V2:X2"/>
    <mergeCell ref="Z2:AB2"/>
    <mergeCell ref="A8:C8"/>
    <mergeCell ref="N2:P2"/>
    <mergeCell ref="Y2:Y3"/>
    <mergeCell ref="A2:C2"/>
    <mergeCell ref="E2:G2"/>
    <mergeCell ref="D2:D3"/>
    <mergeCell ref="H2:H3"/>
    <mergeCell ref="I2:L2"/>
    <mergeCell ref="U2:U3"/>
  </mergeCells>
  <dataValidations count="1">
    <dataValidation type="list" allowBlank="1" showInputMessage="1" showErrorMessage="1" sqref="G15">
      <formula1>"Domingo,Lunes"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22</vt:i4>
      </vt:variant>
    </vt:vector>
  </HeadingPairs>
  <TitlesOfParts>
    <vt:vector size="26" baseType="lpstr">
      <vt:lpstr>L</vt:lpstr>
      <vt:lpstr>Pre</vt:lpstr>
      <vt:lpstr>Nomina</vt:lpstr>
      <vt:lpstr>BD</vt:lpstr>
      <vt:lpstr>AG</vt:lpstr>
      <vt:lpstr>Bimestre</vt:lpstr>
      <vt:lpstr>DA</vt:lpstr>
      <vt:lpstr>DN</vt:lpstr>
      <vt:lpstr>DS</vt:lpstr>
      <vt:lpstr>ExS</vt:lpstr>
      <vt:lpstr>Fci</vt:lpstr>
      <vt:lpstr>FF</vt:lpstr>
      <vt:lpstr>FI</vt:lpstr>
      <vt:lpstr>HL</vt:lpstr>
      <vt:lpstr>Isr</vt:lpstr>
      <vt:lpstr>Pd</vt:lpstr>
      <vt:lpstr>Pv</vt:lpstr>
      <vt:lpstr>Sdv</vt:lpstr>
      <vt:lpstr>SMG</vt:lpstr>
      <vt:lpstr>Subs</vt:lpstr>
      <vt:lpstr>T_NM</vt:lpstr>
      <vt:lpstr>T_NQ</vt:lpstr>
      <vt:lpstr>T_NS</vt:lpstr>
      <vt:lpstr>T_Vac</vt:lpstr>
      <vt:lpstr>Tipo</vt:lpstr>
      <vt:lpstr>Umi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x2000</cp:lastModifiedBy>
  <dcterms:created xsi:type="dcterms:W3CDTF">2019-01-10T20:15:09Z</dcterms:created>
  <dcterms:modified xsi:type="dcterms:W3CDTF">2019-10-13T16:14:11Z</dcterms:modified>
</cp:coreProperties>
</file>