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05" yWindow="-105" windowWidth="23250" windowHeight="12570" activeTab="1"/>
  </bookViews>
  <sheets>
    <sheet name="Datos" sheetId="7" r:id="rId1"/>
    <sheet name="Reporte " sheetId="8" r:id="rId2"/>
    <sheet name="Reporte AN" sheetId="9" r:id="rId3"/>
  </sheets>
  <externalReferences>
    <externalReference r:id="rId4"/>
    <externalReference r:id="rId5"/>
    <externalReference r:id="rId6"/>
  </externalReferences>
  <definedNames>
    <definedName name="cuentas">Datos!$F$22:$F$59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8" i="8" l="1"/>
  <c r="B69" i="8"/>
  <c r="B70" i="8"/>
  <c r="B71" i="8"/>
  <c r="B72" i="8"/>
  <c r="B73" i="8"/>
  <c r="B74" i="8"/>
  <c r="B75" i="8"/>
  <c r="B76" i="8"/>
  <c r="B77" i="8"/>
  <c r="B78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10" i="8"/>
  <c r="D69" i="9" l="1"/>
  <c r="R69" i="9" s="1"/>
  <c r="M68" i="9"/>
  <c r="D68" i="9"/>
  <c r="S67" i="9"/>
  <c r="R67" i="9"/>
  <c r="R66" i="9"/>
  <c r="S66" i="9" s="1"/>
  <c r="R65" i="9"/>
  <c r="S65" i="9" s="1"/>
  <c r="R64" i="9"/>
  <c r="S64" i="9" s="1"/>
  <c r="S63" i="9"/>
  <c r="R63" i="9"/>
  <c r="R62" i="9"/>
  <c r="S62" i="9" s="1"/>
  <c r="R61" i="9"/>
  <c r="S61" i="9" s="1"/>
  <c r="R60" i="9"/>
  <c r="S60" i="9" s="1"/>
  <c r="S59" i="9"/>
  <c r="R59" i="9"/>
  <c r="R58" i="9"/>
  <c r="S58" i="9" s="1"/>
  <c r="R57" i="9"/>
  <c r="S57" i="9" s="1"/>
  <c r="R56" i="9"/>
  <c r="S56" i="9" s="1"/>
  <c r="S55" i="9"/>
  <c r="R55" i="9"/>
  <c r="R54" i="9"/>
  <c r="S54" i="9" s="1"/>
  <c r="R53" i="9"/>
  <c r="S53" i="9" s="1"/>
  <c r="R52" i="9"/>
  <c r="S52" i="9" s="1"/>
  <c r="S51" i="9"/>
  <c r="R51" i="9"/>
  <c r="R50" i="9"/>
  <c r="S50" i="9" s="1"/>
  <c r="R49" i="9"/>
  <c r="S49" i="9" s="1"/>
  <c r="R48" i="9"/>
  <c r="R47" i="9"/>
  <c r="R46" i="9"/>
  <c r="D45" i="9"/>
  <c r="R45" i="9" s="1"/>
  <c r="R44" i="9"/>
  <c r="R43" i="9"/>
  <c r="R42" i="9"/>
  <c r="R41" i="9"/>
  <c r="C41" i="9"/>
  <c r="B41" i="9"/>
  <c r="R40" i="9"/>
  <c r="R39" i="9"/>
  <c r="R38" i="9"/>
  <c r="R37" i="9"/>
  <c r="N37" i="9"/>
  <c r="N68" i="9" s="1"/>
  <c r="R36" i="9"/>
  <c r="R35" i="9"/>
  <c r="B35" i="9"/>
  <c r="R34" i="9"/>
  <c r="L33" i="9"/>
  <c r="K33" i="9"/>
  <c r="J33" i="9"/>
  <c r="I33" i="9"/>
  <c r="I68" i="9" s="1"/>
  <c r="H33" i="9"/>
  <c r="H68" i="9" s="1"/>
  <c r="G33" i="9"/>
  <c r="G68" i="9" s="1"/>
  <c r="F33" i="9"/>
  <c r="F68" i="9" s="1"/>
  <c r="E33" i="9"/>
  <c r="R33" i="9" s="1"/>
  <c r="R32" i="9"/>
  <c r="L31" i="9"/>
  <c r="L68" i="9" s="1"/>
  <c r="K31" i="9"/>
  <c r="K68" i="9" s="1"/>
  <c r="J31" i="9"/>
  <c r="R30" i="9"/>
  <c r="C30" i="9"/>
  <c r="B30" i="9"/>
  <c r="S29" i="9"/>
  <c r="R28" i="9"/>
  <c r="S28" i="9" s="1"/>
  <c r="M27" i="9"/>
  <c r="M70" i="9" s="1"/>
  <c r="K27" i="9"/>
  <c r="G27" i="9"/>
  <c r="F27" i="9"/>
  <c r="E27" i="9"/>
  <c r="N27" i="9"/>
  <c r="J27" i="9"/>
  <c r="I27" i="9"/>
  <c r="W47" i="8"/>
  <c r="U47" i="8"/>
  <c r="S47" i="8"/>
  <c r="Q47" i="8"/>
  <c r="O47" i="8"/>
  <c r="M47" i="8"/>
  <c r="K47" i="8"/>
  <c r="I47" i="8"/>
  <c r="G47" i="8"/>
  <c r="E47" i="8"/>
  <c r="D47" i="8"/>
  <c r="C47" i="8"/>
  <c r="W46" i="8"/>
  <c r="U46" i="8"/>
  <c r="S46" i="8"/>
  <c r="Q46" i="8"/>
  <c r="O46" i="8"/>
  <c r="M46" i="8"/>
  <c r="K46" i="8"/>
  <c r="I46" i="8"/>
  <c r="G46" i="8"/>
  <c r="E46" i="8"/>
  <c r="D46" i="8"/>
  <c r="C46" i="8"/>
  <c r="W45" i="8"/>
  <c r="U45" i="8"/>
  <c r="S45" i="8"/>
  <c r="Q45" i="8"/>
  <c r="O45" i="8"/>
  <c r="M45" i="8"/>
  <c r="K45" i="8"/>
  <c r="I45" i="8"/>
  <c r="G45" i="8"/>
  <c r="E45" i="8"/>
  <c r="D45" i="8"/>
  <c r="C45" i="8"/>
  <c r="W44" i="8"/>
  <c r="U44" i="8"/>
  <c r="S44" i="8"/>
  <c r="Q44" i="8"/>
  <c r="O44" i="8"/>
  <c r="M44" i="8"/>
  <c r="K44" i="8"/>
  <c r="I44" i="8"/>
  <c r="G44" i="8"/>
  <c r="E44" i="8"/>
  <c r="D44" i="8"/>
  <c r="C44" i="8"/>
  <c r="W43" i="8"/>
  <c r="U43" i="8"/>
  <c r="S43" i="8"/>
  <c r="Q43" i="8"/>
  <c r="O43" i="8"/>
  <c r="M43" i="8"/>
  <c r="K43" i="8"/>
  <c r="I43" i="8"/>
  <c r="G43" i="8"/>
  <c r="E43" i="8"/>
  <c r="D43" i="8"/>
  <c r="C43" i="8"/>
  <c r="W42" i="8"/>
  <c r="U42" i="8"/>
  <c r="S42" i="8"/>
  <c r="Q42" i="8"/>
  <c r="O42" i="8"/>
  <c r="M42" i="8"/>
  <c r="K42" i="8"/>
  <c r="I42" i="8"/>
  <c r="G42" i="8"/>
  <c r="E42" i="8"/>
  <c r="D42" i="8"/>
  <c r="C42" i="8"/>
  <c r="W41" i="8"/>
  <c r="U41" i="8"/>
  <c r="S41" i="8"/>
  <c r="Q41" i="8"/>
  <c r="O41" i="8"/>
  <c r="M41" i="8"/>
  <c r="K41" i="8"/>
  <c r="I41" i="8"/>
  <c r="G41" i="8"/>
  <c r="E41" i="8"/>
  <c r="D41" i="8"/>
  <c r="C41" i="8"/>
  <c r="W40" i="8"/>
  <c r="U40" i="8"/>
  <c r="S40" i="8"/>
  <c r="Q40" i="8"/>
  <c r="O40" i="8"/>
  <c r="M40" i="8"/>
  <c r="K40" i="8"/>
  <c r="I40" i="8"/>
  <c r="G40" i="8"/>
  <c r="E40" i="8"/>
  <c r="D40" i="8"/>
  <c r="C40" i="8"/>
  <c r="W39" i="8"/>
  <c r="U39" i="8"/>
  <c r="S39" i="8"/>
  <c r="Q39" i="8"/>
  <c r="O39" i="8"/>
  <c r="M39" i="8"/>
  <c r="K39" i="8"/>
  <c r="I39" i="8"/>
  <c r="G39" i="8"/>
  <c r="E39" i="8"/>
  <c r="D39" i="8"/>
  <c r="C39" i="8"/>
  <c r="W38" i="8"/>
  <c r="U38" i="8"/>
  <c r="S38" i="8"/>
  <c r="Q38" i="8"/>
  <c r="O38" i="8"/>
  <c r="M38" i="8"/>
  <c r="K38" i="8"/>
  <c r="I38" i="8"/>
  <c r="G38" i="8"/>
  <c r="E38" i="8"/>
  <c r="D38" i="8"/>
  <c r="C38" i="8"/>
  <c r="W37" i="8"/>
  <c r="U37" i="8"/>
  <c r="S37" i="8"/>
  <c r="Q37" i="8"/>
  <c r="O37" i="8"/>
  <c r="M37" i="8"/>
  <c r="K37" i="8"/>
  <c r="I37" i="8"/>
  <c r="G37" i="8"/>
  <c r="E37" i="8"/>
  <c r="D37" i="8"/>
  <c r="C37" i="8"/>
  <c r="W36" i="8"/>
  <c r="U36" i="8"/>
  <c r="S36" i="8"/>
  <c r="Q36" i="8"/>
  <c r="O36" i="8"/>
  <c r="M36" i="8"/>
  <c r="K36" i="8"/>
  <c r="I36" i="8"/>
  <c r="G36" i="8"/>
  <c r="E36" i="8"/>
  <c r="D36" i="8"/>
  <c r="C36" i="8"/>
  <c r="W35" i="8"/>
  <c r="U35" i="8"/>
  <c r="S35" i="8"/>
  <c r="Q35" i="8"/>
  <c r="O35" i="8"/>
  <c r="M35" i="8"/>
  <c r="K35" i="8"/>
  <c r="I35" i="8"/>
  <c r="G35" i="8"/>
  <c r="E35" i="8"/>
  <c r="D35" i="8"/>
  <c r="C35" i="8"/>
  <c r="W34" i="8"/>
  <c r="U34" i="8"/>
  <c r="S34" i="8"/>
  <c r="Q34" i="8"/>
  <c r="O34" i="8"/>
  <c r="M34" i="8"/>
  <c r="K34" i="8"/>
  <c r="I34" i="8"/>
  <c r="G34" i="8"/>
  <c r="E34" i="8"/>
  <c r="D34" i="8"/>
  <c r="C34" i="8"/>
  <c r="W33" i="8"/>
  <c r="U33" i="8"/>
  <c r="S33" i="8"/>
  <c r="Q33" i="8"/>
  <c r="O33" i="8"/>
  <c r="M33" i="8"/>
  <c r="K33" i="8"/>
  <c r="I33" i="8"/>
  <c r="G33" i="8"/>
  <c r="E33" i="8"/>
  <c r="D33" i="8"/>
  <c r="C33" i="8"/>
  <c r="W32" i="8"/>
  <c r="U32" i="8"/>
  <c r="S32" i="8"/>
  <c r="Q32" i="8"/>
  <c r="O32" i="8"/>
  <c r="M32" i="8"/>
  <c r="K32" i="8"/>
  <c r="I32" i="8"/>
  <c r="G32" i="8"/>
  <c r="E32" i="8"/>
  <c r="D32" i="8"/>
  <c r="C32" i="8"/>
  <c r="W31" i="8"/>
  <c r="U31" i="8"/>
  <c r="S31" i="8"/>
  <c r="Q31" i="8"/>
  <c r="O31" i="8"/>
  <c r="M31" i="8"/>
  <c r="K31" i="8"/>
  <c r="I31" i="8"/>
  <c r="G31" i="8"/>
  <c r="E31" i="8"/>
  <c r="D31" i="8"/>
  <c r="C31" i="8"/>
  <c r="W30" i="8"/>
  <c r="U30" i="8"/>
  <c r="S30" i="8"/>
  <c r="Q30" i="8"/>
  <c r="O30" i="8"/>
  <c r="M30" i="8"/>
  <c r="K30" i="8"/>
  <c r="I30" i="8"/>
  <c r="G30" i="8"/>
  <c r="E30" i="8"/>
  <c r="D30" i="8"/>
  <c r="C30" i="8"/>
  <c r="W29" i="8"/>
  <c r="U29" i="8"/>
  <c r="S29" i="8"/>
  <c r="Q29" i="8"/>
  <c r="O29" i="8"/>
  <c r="M29" i="8"/>
  <c r="K29" i="8"/>
  <c r="I29" i="8"/>
  <c r="G29" i="8"/>
  <c r="E29" i="8"/>
  <c r="D29" i="8"/>
  <c r="C29" i="8"/>
  <c r="W28" i="8"/>
  <c r="U28" i="8"/>
  <c r="S28" i="8"/>
  <c r="Q28" i="8"/>
  <c r="O28" i="8"/>
  <c r="M28" i="8"/>
  <c r="K28" i="8"/>
  <c r="I28" i="8"/>
  <c r="G28" i="8"/>
  <c r="E28" i="8"/>
  <c r="D28" i="8"/>
  <c r="C28" i="8"/>
  <c r="W27" i="8"/>
  <c r="U27" i="8"/>
  <c r="S27" i="8"/>
  <c r="Q27" i="8"/>
  <c r="O27" i="8"/>
  <c r="M27" i="8"/>
  <c r="K27" i="8"/>
  <c r="I27" i="8"/>
  <c r="G27" i="8"/>
  <c r="E27" i="8"/>
  <c r="D27" i="8"/>
  <c r="C27" i="8"/>
  <c r="W26" i="8"/>
  <c r="U26" i="8"/>
  <c r="S26" i="8"/>
  <c r="Q26" i="8"/>
  <c r="O26" i="8"/>
  <c r="M26" i="8"/>
  <c r="K26" i="8"/>
  <c r="I26" i="8"/>
  <c r="G26" i="8"/>
  <c r="E26" i="8"/>
  <c r="D26" i="8"/>
  <c r="C26" i="8"/>
  <c r="W25" i="8"/>
  <c r="U25" i="8"/>
  <c r="S25" i="8"/>
  <c r="Q25" i="8"/>
  <c r="O25" i="8"/>
  <c r="M25" i="8"/>
  <c r="K25" i="8"/>
  <c r="I25" i="8"/>
  <c r="G25" i="8"/>
  <c r="E25" i="8"/>
  <c r="D25" i="8"/>
  <c r="C25" i="8"/>
  <c r="W24" i="8"/>
  <c r="U24" i="8"/>
  <c r="S24" i="8"/>
  <c r="Q24" i="8"/>
  <c r="O24" i="8"/>
  <c r="M24" i="8"/>
  <c r="K24" i="8"/>
  <c r="I24" i="8"/>
  <c r="G24" i="8"/>
  <c r="E24" i="8"/>
  <c r="D24" i="8"/>
  <c r="C24" i="8"/>
  <c r="W23" i="8"/>
  <c r="U23" i="8"/>
  <c r="S23" i="8"/>
  <c r="Q23" i="8"/>
  <c r="O23" i="8"/>
  <c r="M23" i="8"/>
  <c r="K23" i="8"/>
  <c r="I23" i="8"/>
  <c r="G23" i="8"/>
  <c r="E23" i="8"/>
  <c r="D23" i="8"/>
  <c r="C23" i="8"/>
  <c r="W22" i="8"/>
  <c r="U22" i="8"/>
  <c r="S22" i="8"/>
  <c r="Q22" i="8"/>
  <c r="O22" i="8"/>
  <c r="M22" i="8"/>
  <c r="K22" i="8"/>
  <c r="I22" i="8"/>
  <c r="G22" i="8"/>
  <c r="E22" i="8"/>
  <c r="D22" i="8"/>
  <c r="C22" i="8"/>
  <c r="W21" i="8"/>
  <c r="U21" i="8"/>
  <c r="S21" i="8"/>
  <c r="Q21" i="8"/>
  <c r="O21" i="8"/>
  <c r="M21" i="8"/>
  <c r="K21" i="8"/>
  <c r="I21" i="8"/>
  <c r="G21" i="8"/>
  <c r="E21" i="8"/>
  <c r="D21" i="8"/>
  <c r="C21" i="8"/>
  <c r="W20" i="8"/>
  <c r="U20" i="8"/>
  <c r="S20" i="8"/>
  <c r="Q20" i="8"/>
  <c r="O20" i="8"/>
  <c r="M20" i="8"/>
  <c r="K20" i="8"/>
  <c r="I20" i="8"/>
  <c r="G20" i="8"/>
  <c r="E20" i="8"/>
  <c r="D20" i="8"/>
  <c r="C20" i="8"/>
  <c r="W19" i="8"/>
  <c r="U19" i="8"/>
  <c r="S19" i="8"/>
  <c r="Q19" i="8"/>
  <c r="O19" i="8"/>
  <c r="M19" i="8"/>
  <c r="K19" i="8"/>
  <c r="I19" i="8"/>
  <c r="G19" i="8"/>
  <c r="E19" i="8"/>
  <c r="D19" i="8"/>
  <c r="C19" i="8"/>
  <c r="W18" i="8"/>
  <c r="U18" i="8"/>
  <c r="S18" i="8"/>
  <c r="Q18" i="8"/>
  <c r="O18" i="8"/>
  <c r="M18" i="8"/>
  <c r="K18" i="8"/>
  <c r="I18" i="8"/>
  <c r="G18" i="8"/>
  <c r="E18" i="8"/>
  <c r="D18" i="8"/>
  <c r="C18" i="8"/>
  <c r="W17" i="8"/>
  <c r="U17" i="8"/>
  <c r="S17" i="8"/>
  <c r="Q17" i="8"/>
  <c r="O17" i="8"/>
  <c r="M17" i="8"/>
  <c r="K17" i="8"/>
  <c r="I17" i="8"/>
  <c r="G17" i="8"/>
  <c r="E17" i="8"/>
  <c r="D17" i="8"/>
  <c r="C17" i="8"/>
  <c r="W16" i="8"/>
  <c r="U16" i="8"/>
  <c r="S16" i="8"/>
  <c r="Q16" i="8"/>
  <c r="O16" i="8"/>
  <c r="M16" i="8"/>
  <c r="K16" i="8"/>
  <c r="I16" i="8"/>
  <c r="G16" i="8"/>
  <c r="E16" i="8"/>
  <c r="D16" i="8"/>
  <c r="C16" i="8"/>
  <c r="W15" i="8"/>
  <c r="U15" i="8"/>
  <c r="S15" i="8"/>
  <c r="Q15" i="8"/>
  <c r="O15" i="8"/>
  <c r="M15" i="8"/>
  <c r="K15" i="8"/>
  <c r="I15" i="8"/>
  <c r="G15" i="8"/>
  <c r="E15" i="8"/>
  <c r="D15" i="8"/>
  <c r="C15" i="8"/>
  <c r="W14" i="8"/>
  <c r="U14" i="8"/>
  <c r="S14" i="8"/>
  <c r="Q14" i="8"/>
  <c r="O14" i="8"/>
  <c r="M14" i="8"/>
  <c r="K14" i="8"/>
  <c r="I14" i="8"/>
  <c r="G14" i="8"/>
  <c r="E14" i="8"/>
  <c r="D14" i="8"/>
  <c r="C14" i="8"/>
  <c r="W13" i="8"/>
  <c r="U13" i="8"/>
  <c r="S13" i="8"/>
  <c r="Q13" i="8"/>
  <c r="O13" i="8"/>
  <c r="M13" i="8"/>
  <c r="K13" i="8"/>
  <c r="I13" i="8"/>
  <c r="G13" i="8"/>
  <c r="E13" i="8"/>
  <c r="D13" i="8"/>
  <c r="C13" i="8"/>
  <c r="W12" i="8"/>
  <c r="U12" i="8"/>
  <c r="S12" i="8"/>
  <c r="Q12" i="8"/>
  <c r="O12" i="8"/>
  <c r="M12" i="8"/>
  <c r="K12" i="8"/>
  <c r="I12" i="8"/>
  <c r="G12" i="8"/>
  <c r="E12" i="8"/>
  <c r="D12" i="8"/>
  <c r="C12" i="8"/>
  <c r="W11" i="8"/>
  <c r="U11" i="8"/>
  <c r="S11" i="8"/>
  <c r="Q11" i="8"/>
  <c r="O11" i="8"/>
  <c r="M11" i="8"/>
  <c r="K11" i="8"/>
  <c r="I11" i="8"/>
  <c r="G11" i="8"/>
  <c r="E11" i="8"/>
  <c r="D11" i="8"/>
  <c r="C11" i="8"/>
  <c r="W10" i="8"/>
  <c r="U10" i="8"/>
  <c r="S10" i="8"/>
  <c r="Q10" i="8"/>
  <c r="O10" i="8"/>
  <c r="M10" i="8"/>
  <c r="K10" i="8"/>
  <c r="I10" i="8"/>
  <c r="G10" i="8"/>
  <c r="E10" i="8"/>
  <c r="D10" i="8"/>
  <c r="C10" i="8"/>
  <c r="J95" i="7"/>
  <c r="I95" i="7"/>
  <c r="J94" i="7"/>
  <c r="I94" i="7"/>
  <c r="H94" i="7"/>
  <c r="H92" i="7" s="1"/>
  <c r="T92" i="7" s="1"/>
  <c r="R92" i="7"/>
  <c r="R76" i="7" s="1"/>
  <c r="M92" i="7"/>
  <c r="K92" i="7"/>
  <c r="W92" i="7" s="1"/>
  <c r="G92" i="7"/>
  <c r="S92" i="7" s="1"/>
  <c r="S95" i="7" s="1"/>
  <c r="F92" i="7"/>
  <c r="F82" i="7" s="1"/>
  <c r="R82" i="7" s="1"/>
  <c r="E92" i="7"/>
  <c r="Q92" i="7" s="1"/>
  <c r="Q74" i="7" s="1"/>
  <c r="D92" i="7"/>
  <c r="P92" i="7" s="1"/>
  <c r="C92" i="7"/>
  <c r="B92" i="7"/>
  <c r="N92" i="7" s="1"/>
  <c r="J89" i="7"/>
  <c r="I89" i="7"/>
  <c r="H89" i="7"/>
  <c r="I88" i="7"/>
  <c r="H88" i="7"/>
  <c r="H87" i="7"/>
  <c r="G87" i="7"/>
  <c r="G86" i="7"/>
  <c r="G85" i="7"/>
  <c r="K84" i="7"/>
  <c r="J84" i="7"/>
  <c r="J83" i="7" s="1"/>
  <c r="V83" i="7" s="1"/>
  <c r="M83" i="7"/>
  <c r="F83" i="7"/>
  <c r="R83" i="7" s="1"/>
  <c r="E83" i="7"/>
  <c r="Q83" i="7" s="1"/>
  <c r="D83" i="7"/>
  <c r="P84" i="7" s="1"/>
  <c r="C83" i="7"/>
  <c r="O84" i="7" s="1"/>
  <c r="B83" i="7"/>
  <c r="M78" i="7"/>
  <c r="M77" i="7"/>
  <c r="M76" i="7"/>
  <c r="K76" i="7"/>
  <c r="M75" i="7"/>
  <c r="M74" i="7"/>
  <c r="M73" i="7"/>
  <c r="M72" i="7"/>
  <c r="J72" i="7"/>
  <c r="I72" i="7"/>
  <c r="H72" i="7"/>
  <c r="G72" i="7"/>
  <c r="F72" i="7"/>
  <c r="F69" i="7" s="1"/>
  <c r="E72" i="7"/>
  <c r="D72" i="7"/>
  <c r="C72" i="7"/>
  <c r="B72" i="7"/>
  <c r="M71" i="7"/>
  <c r="J7" i="8" s="1"/>
  <c r="J24" i="8" s="1"/>
  <c r="J71" i="7"/>
  <c r="I71" i="7"/>
  <c r="H71" i="7"/>
  <c r="G71" i="7"/>
  <c r="S71" i="7" s="1"/>
  <c r="F71" i="7"/>
  <c r="E71" i="7"/>
  <c r="D71" i="7"/>
  <c r="P71" i="7" s="1"/>
  <c r="C71" i="7"/>
  <c r="B71" i="7"/>
  <c r="M70" i="7"/>
  <c r="M69" i="7"/>
  <c r="K69" i="7"/>
  <c r="W69" i="7" s="1"/>
  <c r="J69" i="7"/>
  <c r="V69" i="7" s="1"/>
  <c r="M68" i="7"/>
  <c r="K68" i="7"/>
  <c r="K64" i="7" s="1"/>
  <c r="W64" i="7" s="1"/>
  <c r="W68" i="7" s="1"/>
  <c r="M67" i="7"/>
  <c r="K67" i="7"/>
  <c r="M66" i="7"/>
  <c r="H66" i="7"/>
  <c r="H64" i="7" s="1"/>
  <c r="T64" i="7" s="1"/>
  <c r="G66" i="7"/>
  <c r="M65" i="7"/>
  <c r="V64" i="7"/>
  <c r="M64" i="7"/>
  <c r="J64" i="7"/>
  <c r="I64" i="7"/>
  <c r="G64" i="7"/>
  <c r="S64" i="7" s="1"/>
  <c r="S67" i="7" s="1"/>
  <c r="F64" i="7"/>
  <c r="R64" i="7" s="1"/>
  <c r="R65" i="7" s="1"/>
  <c r="E64" i="7"/>
  <c r="Q64" i="7" s="1"/>
  <c r="D64" i="7"/>
  <c r="C64" i="7"/>
  <c r="O65" i="7" s="1"/>
  <c r="B64" i="7"/>
  <c r="B9" i="7"/>
  <c r="B8" i="7"/>
  <c r="B7" i="7"/>
  <c r="B6" i="7"/>
  <c r="B5" i="7"/>
  <c r="C4" i="7"/>
  <c r="B4" i="7"/>
  <c r="R69" i="7" l="1"/>
  <c r="F63" i="7"/>
  <c r="R63" i="7" s="1"/>
  <c r="G69" i="7"/>
  <c r="H69" i="7"/>
  <c r="T69" i="7" s="1"/>
  <c r="I69" i="7"/>
  <c r="U69" i="7" s="1"/>
  <c r="C69" i="7"/>
  <c r="O69" i="7" s="1"/>
  <c r="D69" i="7"/>
  <c r="P69" i="7" s="1"/>
  <c r="T73" i="7"/>
  <c r="T78" i="7"/>
  <c r="R85" i="7"/>
  <c r="R84" i="7"/>
  <c r="V77" i="7"/>
  <c r="V75" i="7"/>
  <c r="N93" i="7"/>
  <c r="N75" i="7"/>
  <c r="N77" i="7"/>
  <c r="N76" i="7"/>
  <c r="N73" i="7"/>
  <c r="N72" i="7"/>
  <c r="U94" i="7"/>
  <c r="P7" i="8"/>
  <c r="P24" i="8" s="1"/>
  <c r="T71" i="7"/>
  <c r="R7" i="8" s="1"/>
  <c r="R45" i="8" s="1"/>
  <c r="J63" i="7"/>
  <c r="W67" i="7"/>
  <c r="R72" i="7"/>
  <c r="N71" i="7"/>
  <c r="V71" i="7"/>
  <c r="T72" i="7"/>
  <c r="U88" i="7"/>
  <c r="B69" i="7"/>
  <c r="N69" i="7" s="1"/>
  <c r="N70" i="7" s="1"/>
  <c r="Q71" i="7"/>
  <c r="J92" i="7"/>
  <c r="V92" i="7" s="1"/>
  <c r="I83" i="7"/>
  <c r="U83" i="7" s="1"/>
  <c r="I92" i="7"/>
  <c r="U92" i="7" s="1"/>
  <c r="W70" i="7" s="1"/>
  <c r="K70" i="9"/>
  <c r="U75" i="7"/>
  <c r="U77" i="7"/>
  <c r="U74" i="7"/>
  <c r="U76" i="7"/>
  <c r="U78" i="7"/>
  <c r="U73" i="7"/>
  <c r="T66" i="7"/>
  <c r="T67" i="7"/>
  <c r="T65" i="7"/>
  <c r="S65" i="7"/>
  <c r="E69" i="7"/>
  <c r="Q72" i="7"/>
  <c r="H83" i="7"/>
  <c r="P74" i="7"/>
  <c r="P76" i="7"/>
  <c r="P73" i="7"/>
  <c r="P95" i="7"/>
  <c r="P78" i="7"/>
  <c r="P94" i="7"/>
  <c r="P75" i="7"/>
  <c r="P77" i="7"/>
  <c r="P70" i="7"/>
  <c r="U71" i="7"/>
  <c r="U64" i="7"/>
  <c r="I63" i="7"/>
  <c r="U63" i="7" s="1"/>
  <c r="Q84" i="7"/>
  <c r="Q65" i="7"/>
  <c r="N65" i="7"/>
  <c r="V63" i="7"/>
  <c r="S69" i="7"/>
  <c r="G63" i="7"/>
  <c r="S63" i="7" s="1"/>
  <c r="W76" i="7"/>
  <c r="P93" i="7"/>
  <c r="N84" i="7"/>
  <c r="B82" i="7"/>
  <c r="V89" i="7"/>
  <c r="V88" i="7"/>
  <c r="V87" i="7"/>
  <c r="V84" i="7"/>
  <c r="V85" i="7"/>
  <c r="S66" i="7"/>
  <c r="W74" i="7"/>
  <c r="W71" i="7"/>
  <c r="W78" i="7"/>
  <c r="W73" i="7"/>
  <c r="W75" i="7"/>
  <c r="J45" i="8"/>
  <c r="J41" i="8"/>
  <c r="J37" i="8"/>
  <c r="J33" i="8"/>
  <c r="J29" i="8"/>
  <c r="J25" i="8"/>
  <c r="J46" i="8"/>
  <c r="J42" i="8"/>
  <c r="J38" i="8"/>
  <c r="J34" i="8"/>
  <c r="J30" i="8"/>
  <c r="J26" i="8"/>
  <c r="J22" i="8"/>
  <c r="J47" i="8"/>
  <c r="J43" i="8"/>
  <c r="J39" i="8"/>
  <c r="J35" i="8"/>
  <c r="J31" i="8"/>
  <c r="J27" i="8"/>
  <c r="J23" i="8"/>
  <c r="J19" i="8"/>
  <c r="J16" i="8"/>
  <c r="J12" i="8"/>
  <c r="J36" i="8"/>
  <c r="J17" i="8"/>
  <c r="J13" i="8"/>
  <c r="J32" i="8"/>
  <c r="J18" i="8"/>
  <c r="J14" i="8"/>
  <c r="J10" i="8"/>
  <c r="J44" i="8"/>
  <c r="J28" i="8"/>
  <c r="J21" i="8"/>
  <c r="J20" i="8"/>
  <c r="J15" i="8"/>
  <c r="J11" i="8"/>
  <c r="U89" i="7"/>
  <c r="U87" i="7"/>
  <c r="U84" i="7"/>
  <c r="U85" i="7"/>
  <c r="G83" i="7"/>
  <c r="S78" i="7"/>
  <c r="S73" i="7"/>
  <c r="S94" i="7"/>
  <c r="S77" i="7"/>
  <c r="S70" i="7"/>
  <c r="S75" i="7"/>
  <c r="S72" i="7"/>
  <c r="S93" i="7"/>
  <c r="S74" i="7"/>
  <c r="S76" i="7"/>
  <c r="R67" i="7"/>
  <c r="W72" i="7"/>
  <c r="W77" i="7"/>
  <c r="Q76" i="7"/>
  <c r="Q95" i="7"/>
  <c r="Q78" i="7"/>
  <c r="Q73" i="7"/>
  <c r="Q94" i="7"/>
  <c r="Q75" i="7"/>
  <c r="Q77" i="7"/>
  <c r="Q70" i="7"/>
  <c r="Q93" i="7"/>
  <c r="R95" i="7"/>
  <c r="R71" i="7"/>
  <c r="R78" i="7"/>
  <c r="R73" i="7"/>
  <c r="R75" i="7"/>
  <c r="R94" i="7"/>
  <c r="R77" i="7"/>
  <c r="R70" i="7"/>
  <c r="R93" i="7"/>
  <c r="R74" i="7"/>
  <c r="W65" i="7"/>
  <c r="W66" i="7"/>
  <c r="R66" i="7"/>
  <c r="U72" i="7"/>
  <c r="T94" i="7"/>
  <c r="T75" i="7"/>
  <c r="T77" i="7"/>
  <c r="T70" i="7"/>
  <c r="T93" i="7"/>
  <c r="T74" i="7"/>
  <c r="T76" i="7"/>
  <c r="T95" i="7"/>
  <c r="J40" i="8"/>
  <c r="V67" i="7"/>
  <c r="V66" i="7"/>
  <c r="V65" i="7"/>
  <c r="V70" i="7"/>
  <c r="U70" i="7"/>
  <c r="U93" i="7"/>
  <c r="U95" i="7"/>
  <c r="P72" i="7"/>
  <c r="K83" i="7"/>
  <c r="N94" i="7"/>
  <c r="T7" i="8"/>
  <c r="H27" i="9"/>
  <c r="H70" i="9" s="1"/>
  <c r="F70" i="9"/>
  <c r="V73" i="7"/>
  <c r="N78" i="7"/>
  <c r="V78" i="7"/>
  <c r="R87" i="7"/>
  <c r="R88" i="7"/>
  <c r="F7" i="8"/>
  <c r="V7" i="8"/>
  <c r="G70" i="9"/>
  <c r="H63" i="7"/>
  <c r="T63" i="7" s="1"/>
  <c r="I82" i="7"/>
  <c r="U82" i="7" s="1"/>
  <c r="R89" i="7"/>
  <c r="N95" i="7"/>
  <c r="X7" i="8"/>
  <c r="R31" i="9"/>
  <c r="J68" i="9"/>
  <c r="J70" i="9" s="1"/>
  <c r="I70" i="9"/>
  <c r="V76" i="7"/>
  <c r="C63" i="7"/>
  <c r="O63" i="7" s="1"/>
  <c r="K63" i="7"/>
  <c r="W63" i="7" s="1"/>
  <c r="P65" i="7"/>
  <c r="N74" i="7"/>
  <c r="V74" i="7"/>
  <c r="C82" i="7"/>
  <c r="O92" i="7"/>
  <c r="L7" i="8"/>
  <c r="L27" i="9"/>
  <c r="L70" i="9" s="1"/>
  <c r="N70" i="9"/>
  <c r="D82" i="7"/>
  <c r="P82" i="7" s="1"/>
  <c r="N7" i="8"/>
  <c r="V72" i="7"/>
  <c r="E82" i="7"/>
  <c r="Q82" i="7" s="1"/>
  <c r="E68" i="9"/>
  <c r="E70" i="9" s="1"/>
  <c r="D27" i="9"/>
  <c r="D70" i="9" s="1"/>
  <c r="D71" i="9" s="1"/>
  <c r="R68" i="9"/>
  <c r="P31" i="8" l="1"/>
  <c r="P32" i="8"/>
  <c r="P47" i="8"/>
  <c r="P36" i="8"/>
  <c r="P20" i="8"/>
  <c r="P23" i="8"/>
  <c r="P29" i="8"/>
  <c r="P22" i="8"/>
  <c r="D63" i="7"/>
  <c r="P63" i="7" s="1"/>
  <c r="P26" i="8"/>
  <c r="P25" i="8"/>
  <c r="R36" i="8"/>
  <c r="R21" i="8"/>
  <c r="R39" i="8"/>
  <c r="R42" i="8"/>
  <c r="J82" i="7"/>
  <c r="V82" i="7" s="1"/>
  <c r="P14" i="8"/>
  <c r="P16" i="8"/>
  <c r="P18" i="8"/>
  <c r="P21" i="8"/>
  <c r="P28" i="8"/>
  <c r="R43" i="8"/>
  <c r="R11" i="8"/>
  <c r="R17" i="8"/>
  <c r="R44" i="8"/>
  <c r="R47" i="8"/>
  <c r="R25" i="8"/>
  <c r="B63" i="7"/>
  <c r="N63" i="7" s="1"/>
  <c r="R15" i="8"/>
  <c r="R24" i="8"/>
  <c r="R19" i="8"/>
  <c r="R22" i="8"/>
  <c r="R29" i="8"/>
  <c r="P13" i="8"/>
  <c r="P39" i="8"/>
  <c r="P30" i="8"/>
  <c r="P33" i="8"/>
  <c r="P40" i="8"/>
  <c r="R13" i="8"/>
  <c r="R32" i="8"/>
  <c r="R40" i="8"/>
  <c r="R23" i="8"/>
  <c r="R26" i="8"/>
  <c r="R33" i="8"/>
  <c r="P17" i="8"/>
  <c r="P11" i="8"/>
  <c r="P34" i="8"/>
  <c r="P37" i="8"/>
  <c r="P44" i="8"/>
  <c r="R18" i="8"/>
  <c r="R12" i="8"/>
  <c r="R27" i="8"/>
  <c r="R30" i="8"/>
  <c r="R37" i="8"/>
  <c r="P35" i="8"/>
  <c r="P15" i="8"/>
  <c r="P38" i="8"/>
  <c r="P41" i="8"/>
  <c r="R28" i="8"/>
  <c r="R46" i="8"/>
  <c r="R10" i="8"/>
  <c r="R16" i="8"/>
  <c r="R31" i="8"/>
  <c r="R34" i="8"/>
  <c r="R41" i="8"/>
  <c r="P19" i="8"/>
  <c r="P27" i="8"/>
  <c r="P42" i="8"/>
  <c r="P45" i="8"/>
  <c r="R14" i="8"/>
  <c r="R20" i="8"/>
  <c r="R35" i="8"/>
  <c r="R38" i="8"/>
  <c r="P10" i="8"/>
  <c r="P12" i="8"/>
  <c r="P43" i="8"/>
  <c r="P46" i="8"/>
  <c r="E71" i="9"/>
  <c r="F71" i="9" s="1"/>
  <c r="G71" i="9" s="1"/>
  <c r="H71" i="9" s="1"/>
  <c r="I71" i="9" s="1"/>
  <c r="J71" i="9" s="1"/>
  <c r="K71" i="9" s="1"/>
  <c r="L71" i="9" s="1"/>
  <c r="M71" i="9" s="1"/>
  <c r="N71" i="9" s="1"/>
  <c r="S83" i="7"/>
  <c r="G82" i="7"/>
  <c r="S82" i="7" s="1"/>
  <c r="L46" i="8"/>
  <c r="L42" i="8"/>
  <c r="L38" i="8"/>
  <c r="L34" i="8"/>
  <c r="L30" i="8"/>
  <c r="L26" i="8"/>
  <c r="L47" i="8"/>
  <c r="L43" i="8"/>
  <c r="L39" i="8"/>
  <c r="L35" i="8"/>
  <c r="L31" i="8"/>
  <c r="L27" i="8"/>
  <c r="L23" i="8"/>
  <c r="L44" i="8"/>
  <c r="L40" i="8"/>
  <c r="L36" i="8"/>
  <c r="L32" i="8"/>
  <c r="L28" i="8"/>
  <c r="L24" i="8"/>
  <c r="L20" i="8"/>
  <c r="L41" i="8"/>
  <c r="L25" i="8"/>
  <c r="L17" i="8"/>
  <c r="L13" i="8"/>
  <c r="L37" i="8"/>
  <c r="L18" i="8"/>
  <c r="L14" i="8"/>
  <c r="L10" i="8"/>
  <c r="L33" i="8"/>
  <c r="L22" i="8"/>
  <c r="L21" i="8"/>
  <c r="L15" i="8"/>
  <c r="L11" i="8"/>
  <c r="L45" i="8"/>
  <c r="L29" i="8"/>
  <c r="L16" i="8"/>
  <c r="L12" i="8"/>
  <c r="L19" i="8"/>
  <c r="O93" i="7"/>
  <c r="O70" i="7"/>
  <c r="K82" i="7"/>
  <c r="W82" i="7" s="1"/>
  <c r="W83" i="7"/>
  <c r="T83" i="7"/>
  <c r="H82" i="7"/>
  <c r="T82" i="7" s="1"/>
  <c r="N47" i="8"/>
  <c r="N43" i="8"/>
  <c r="N39" i="8"/>
  <c r="N35" i="8"/>
  <c r="N31" i="8"/>
  <c r="N27" i="8"/>
  <c r="N23" i="8"/>
  <c r="N44" i="8"/>
  <c r="N40" i="8"/>
  <c r="N36" i="8"/>
  <c r="N32" i="8"/>
  <c r="N28" i="8"/>
  <c r="N24" i="8"/>
  <c r="N20" i="8"/>
  <c r="N45" i="8"/>
  <c r="N41" i="8"/>
  <c r="N37" i="8"/>
  <c r="N33" i="8"/>
  <c r="N29" i="8"/>
  <c r="N25" i="8"/>
  <c r="N21" i="8"/>
  <c r="N42" i="8"/>
  <c r="N26" i="8"/>
  <c r="N18" i="8"/>
  <c r="N14" i="8"/>
  <c r="N10" i="8"/>
  <c r="N38" i="8"/>
  <c r="N22" i="8"/>
  <c r="N15" i="8"/>
  <c r="N11" i="8"/>
  <c r="N34" i="8"/>
  <c r="N16" i="8"/>
  <c r="N12" i="8"/>
  <c r="N19" i="8"/>
  <c r="N46" i="8"/>
  <c r="N30" i="8"/>
  <c r="N17" i="8"/>
  <c r="N13" i="8"/>
  <c r="O82" i="7"/>
  <c r="O74" i="7"/>
  <c r="O76" i="7"/>
  <c r="O95" i="7"/>
  <c r="O71" i="7"/>
  <c r="H7" i="8" s="1"/>
  <c r="O78" i="7"/>
  <c r="O73" i="7"/>
  <c r="O94" i="7"/>
  <c r="O75" i="7"/>
  <c r="O77" i="7"/>
  <c r="O72" i="7"/>
  <c r="N82" i="7"/>
  <c r="Q69" i="7"/>
  <c r="E63" i="7"/>
  <c r="Q63" i="7" s="1"/>
  <c r="V47" i="8"/>
  <c r="V43" i="8"/>
  <c r="V39" i="8"/>
  <c r="V35" i="8"/>
  <c r="V31" i="8"/>
  <c r="V27" i="8"/>
  <c r="V23" i="8"/>
  <c r="V44" i="8"/>
  <c r="V40" i="8"/>
  <c r="V36" i="8"/>
  <c r="V32" i="8"/>
  <c r="V28" i="8"/>
  <c r="V24" i="8"/>
  <c r="V20" i="8"/>
  <c r="V45" i="8"/>
  <c r="V41" i="8"/>
  <c r="V37" i="8"/>
  <c r="V33" i="8"/>
  <c r="V29" i="8"/>
  <c r="V25" i="8"/>
  <c r="V21" i="8"/>
  <c r="V14" i="8"/>
  <c r="V10" i="8"/>
  <c r="V46" i="8"/>
  <c r="V30" i="8"/>
  <c r="V18" i="8"/>
  <c r="V15" i="8"/>
  <c r="V11" i="8"/>
  <c r="V42" i="8"/>
  <c r="V26" i="8"/>
  <c r="V16" i="8"/>
  <c r="V12" i="8"/>
  <c r="V38" i="8"/>
  <c r="V22" i="8"/>
  <c r="V17" i="8"/>
  <c r="V13" i="8"/>
  <c r="V34" i="8"/>
  <c r="V19" i="8"/>
  <c r="X44" i="8"/>
  <c r="X40" i="8"/>
  <c r="X36" i="8"/>
  <c r="X32" i="8"/>
  <c r="X28" i="8"/>
  <c r="X24" i="8"/>
  <c r="X45" i="8"/>
  <c r="X41" i="8"/>
  <c r="X37" i="8"/>
  <c r="X33" i="8"/>
  <c r="X29" i="8"/>
  <c r="X25" i="8"/>
  <c r="X21" i="8"/>
  <c r="X46" i="8"/>
  <c r="X42" i="8"/>
  <c r="X38" i="8"/>
  <c r="X34" i="8"/>
  <c r="X30" i="8"/>
  <c r="X26" i="8"/>
  <c r="X22" i="8"/>
  <c r="X18" i="8"/>
  <c r="X15" i="8"/>
  <c r="X11" i="8"/>
  <c r="X47" i="8"/>
  <c r="X31" i="8"/>
  <c r="X16" i="8"/>
  <c r="X12" i="8"/>
  <c r="X43" i="8"/>
  <c r="X27" i="8"/>
  <c r="X20" i="8"/>
  <c r="X17" i="8"/>
  <c r="X13" i="8"/>
  <c r="X39" i="8"/>
  <c r="X23" i="8"/>
  <c r="X19" i="8"/>
  <c r="X14" i="8"/>
  <c r="X10" i="8"/>
  <c r="X35" i="8"/>
  <c r="F47" i="8"/>
  <c r="F43" i="8"/>
  <c r="F39" i="8"/>
  <c r="F35" i="8"/>
  <c r="F31" i="8"/>
  <c r="F27" i="8"/>
  <c r="F23" i="8"/>
  <c r="F44" i="8"/>
  <c r="F40" i="8"/>
  <c r="F36" i="8"/>
  <c r="F32" i="8"/>
  <c r="F28" i="8"/>
  <c r="F24" i="8"/>
  <c r="F20" i="8"/>
  <c r="F45" i="8"/>
  <c r="F41" i="8"/>
  <c r="F37" i="8"/>
  <c r="F33" i="8"/>
  <c r="F29" i="8"/>
  <c r="F25" i="8"/>
  <c r="F21" i="8"/>
  <c r="F22" i="8"/>
  <c r="F18" i="8"/>
  <c r="F14" i="8"/>
  <c r="F10" i="8"/>
  <c r="F34" i="8"/>
  <c r="F15" i="8"/>
  <c r="F11" i="8"/>
  <c r="F46" i="8"/>
  <c r="F30" i="8"/>
  <c r="F19" i="8"/>
  <c r="F16" i="8"/>
  <c r="F12" i="8"/>
  <c r="F42" i="8"/>
  <c r="F26" i="8"/>
  <c r="F17" i="8"/>
  <c r="F13" i="8"/>
  <c r="F38" i="8"/>
  <c r="U67" i="7"/>
  <c r="U66" i="7"/>
  <c r="U65" i="7"/>
  <c r="R27" i="9"/>
  <c r="T46" i="8"/>
  <c r="T42" i="8"/>
  <c r="T38" i="8"/>
  <c r="T34" i="8"/>
  <c r="T30" i="8"/>
  <c r="T26" i="8"/>
  <c r="T22" i="8"/>
  <c r="T47" i="8"/>
  <c r="T43" i="8"/>
  <c r="T39" i="8"/>
  <c r="T35" i="8"/>
  <c r="T31" i="8"/>
  <c r="T27" i="8"/>
  <c r="T23" i="8"/>
  <c r="T19" i="8"/>
  <c r="T44" i="8"/>
  <c r="T40" i="8"/>
  <c r="T36" i="8"/>
  <c r="T32" i="8"/>
  <c r="T28" i="8"/>
  <c r="T24" i="8"/>
  <c r="T20" i="8"/>
  <c r="T17" i="8"/>
  <c r="T13" i="8"/>
  <c r="T45" i="8"/>
  <c r="T29" i="8"/>
  <c r="T14" i="8"/>
  <c r="T10" i="8"/>
  <c r="T41" i="8"/>
  <c r="T25" i="8"/>
  <c r="T18" i="8"/>
  <c r="T15" i="8"/>
  <c r="T11" i="8"/>
  <c r="T37" i="8"/>
  <c r="T21" i="8"/>
  <c r="T16" i="8"/>
  <c r="T12" i="8"/>
  <c r="T33" i="8"/>
  <c r="R70" i="9" l="1"/>
  <c r="R71" i="9" s="1"/>
  <c r="T86" i="7"/>
  <c r="T87" i="7"/>
  <c r="T84" i="7"/>
  <c r="T85" i="7"/>
  <c r="T89" i="7"/>
  <c r="T88" i="7"/>
  <c r="W88" i="7"/>
  <c r="W87" i="7"/>
  <c r="W85" i="7"/>
  <c r="W89" i="7"/>
  <c r="W84" i="7"/>
  <c r="H44" i="8"/>
  <c r="H40" i="8"/>
  <c r="H36" i="8"/>
  <c r="H32" i="8"/>
  <c r="H28" i="8"/>
  <c r="H24" i="8"/>
  <c r="H45" i="8"/>
  <c r="H41" i="8"/>
  <c r="H37" i="8"/>
  <c r="H33" i="8"/>
  <c r="H29" i="8"/>
  <c r="H25" i="8"/>
  <c r="H21" i="8"/>
  <c r="H46" i="8"/>
  <c r="H42" i="8"/>
  <c r="H38" i="8"/>
  <c r="H34" i="8"/>
  <c r="H30" i="8"/>
  <c r="H26" i="8"/>
  <c r="H22" i="8"/>
  <c r="H20" i="8"/>
  <c r="H15" i="8"/>
  <c r="H11" i="8"/>
  <c r="H35" i="8"/>
  <c r="H19" i="8"/>
  <c r="H16" i="8"/>
  <c r="H12" i="8"/>
  <c r="H47" i="8"/>
  <c r="H31" i="8"/>
  <c r="H17" i="8"/>
  <c r="H13" i="8"/>
  <c r="H43" i="8"/>
  <c r="H27" i="8"/>
  <c r="H18" i="8"/>
  <c r="H14" i="8"/>
  <c r="H10" i="8"/>
  <c r="H23" i="8"/>
  <c r="H39" i="8"/>
  <c r="S86" i="7"/>
  <c r="S89" i="7"/>
  <c r="S88" i="7"/>
  <c r="S84" i="7"/>
  <c r="S85" i="7"/>
  <c r="S87" i="7"/>
  <c r="S48" i="9" l="1"/>
  <c r="S31" i="9"/>
  <c r="S36" i="9" l="1"/>
  <c r="S46" i="9"/>
  <c r="S42" i="9"/>
  <c r="S38" i="9"/>
  <c r="S34" i="9"/>
  <c r="S44" i="9"/>
  <c r="S40" i="9"/>
  <c r="S32" i="9"/>
  <c r="S45" i="9"/>
  <c r="S37" i="9"/>
  <c r="S47" i="9"/>
  <c r="S43" i="9"/>
  <c r="S39" i="9"/>
  <c r="S35" i="9"/>
  <c r="S30" i="9" l="1"/>
  <c r="S27" i="9"/>
  <c r="S33" i="9" l="1"/>
  <c r="S41" i="9" l="1"/>
</calcChain>
</file>

<file path=xl/comments1.xml><?xml version="1.0" encoding="utf-8"?>
<comments xmlns="http://schemas.openxmlformats.org/spreadsheetml/2006/main">
  <authors>
    <author>KARLA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KARLA</t>
        </r>
      </text>
    </comment>
    <comment ref="B41" authorId="0" shapeId="0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>Antes de Marzo un 20%
Mes de Abril en adelante</t>
        </r>
      </text>
    </comment>
    <comment ref="A7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A7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D5
D6
D7</t>
        </r>
      </text>
    </comment>
    <comment ref="A7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D8
D9
</t>
        </r>
      </text>
    </comment>
    <comment ref="A76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D10
D11
D12</t>
        </r>
      </text>
    </comment>
    <comment ref="A7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D13
D14
D15
D16
D17
D18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 xml:space="preserve">D19
D20
D21
D13
D16
</t>
        </r>
      </text>
    </comment>
    <comment ref="A8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F8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Ova Verde</t>
        </r>
      </text>
    </comment>
    <comment ref="G8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Ova Verde
Ova Ojo
</t>
        </r>
      </text>
    </comment>
    <comment ref="M8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M86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A8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D5
D6
D7
D8</t>
        </r>
      </text>
    </comment>
    <comment ref="M8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D5
D6
D7</t>
        </r>
      </text>
    </comment>
    <comment ref="A8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D8
D9
D10
D11
D12
</t>
        </r>
      </text>
    </comment>
    <comment ref="M8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D8
D9
</t>
        </r>
      </text>
    </comment>
    <comment ref="A8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D13
D14
D15
D16
D17
D18</t>
        </r>
      </text>
    </comment>
    <comment ref="M8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D10
D11
D12</t>
        </r>
      </text>
    </comment>
    <comment ref="A90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D13
D14
D15
D16
D17
D18</t>
        </r>
      </text>
    </comment>
    <comment ref="A91" authorId="0" shapeId="0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 xml:space="preserve">D19
D20
D21
D13
D16
</t>
        </r>
      </text>
    </comment>
  </commentList>
</comments>
</file>

<file path=xl/comments2.xml><?xml version="1.0" encoding="utf-8"?>
<comments xmlns="http://schemas.openxmlformats.org/spreadsheetml/2006/main">
  <authors>
    <author>KARLA</author>
  </authors>
  <commentList>
    <comment ref="M1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100,000  FL/17238 SALMONES ANTARTICA OC:211 Flete Alimento
 300,000  FL/27 HUGO OMAR PARRA OC:236 Flete Estanque
 115,000  L.COMPRA FL/188 BELISARIO PINILLA GONZALEZ OC:253-OC:254 Flete Alimento
 115,000  L.COMPRA FL/188 BELISARIO PINILLA GONZALEZ OC:253-OC:254 Flete Alimento
 150,000  L.COMPRA FL/17427 SALMONES ANTARTICA OC:246 Flete Alimento
 100,000  L.COMPRA FL/17465 SALMONES ANTARTICA OC:247 Flete Alimento
</t>
        </r>
      </text>
    </comment>
    <comment ref="N17" authorId="0" shapeId="0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 xml:space="preserve"> $230,000  L.COMPRA FL/358 FERNANDO ARANEDA JEREZ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Flete desde Escuadron a Coronel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Compra de antibiotico 4 ltrs x 44.729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$755,848  L.COMPRA FL/455713 AGRICOLA LTDA (O/C:162)
Bronopol Reproductores
 $90,000  L.COMPRA FL/110 GOICOECHEA Y OTRO LTDA. (Ovalimpia 1x) Activante Esparmatico
Cta Cble Insumos Operacionales
</t>
        </r>
        <r>
          <rPr>
            <b/>
            <sz val="9"/>
            <color indexed="81"/>
            <rFont val="Tahoma"/>
            <family val="2"/>
          </rPr>
          <t>La formalina se comienza a usar en Junio</t>
        </r>
      </text>
    </comment>
    <comment ref="N1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lts Vacunas Flavo inmune $376.000
8 lts Vacunas inversion $710.400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$86,958  FL/63266 MARIA OLALDE(toallas,guantes)
 $53,988  FL/755386 GREZ Y ULLOA(luces sala incubación)
 $40,706  FL/22464398 EASY (escalera sala incubación)
 $32,393  FL/755353 GREZ Y ULLOA (apolleta,interruptor y otros)
 $38,858  FL/38 GONZALO SALAZAR(linterna,cauitin,pila)
 $53,605  FL/757754 GREZ Y ULLOA(ampolleta,interruptor,huincha)
 $59,801  FL/758129 GREZ Y ULLOA (ampolleta,cordon,enchufe)
 $21,000  FL/106406716 SODIMAC(cablecorriente)
 $6,660  FL/758130 GREZ Y ULLOA (interruptor)
 $118,059  FL/106414801 SODIMAC (partidor, escalera)
 $63,639  CL/46057592 SODIMAC (devolvución de partidor)
 $41,472  FL/106449422 SODIMAC (REMACHES-PEGAMENTO)
 $75,743  FL/71719 S NAZAL (cinta,perno,disco)
 $28,857  FL/90723 SOC MUÑOZ Y PAREDES(toalla papel,bolsa,guante latex
 $39,314  FL/62195 COM MATERIALES DE FERRE HIDROCENTRO(valvula)
 $108,790  FL/106316138 SODIMAC (escala,escobillon)
 $9,042  FL/63398 MARIA OLALDE (poncho plastico)
 $5,336  FL/11173 COM GOMA SUR SPA (jgo ring bomba)
 $6,176  FL/9977 COM PROD LABRADOR (bolsa,impermeable)
 $112,067  FL/106193274 SODIMAC(escala,guantes)
 $25,042  FL/63409 MARIA OLALDE (guante latex)
 $98,471  FL/22585702 EASY (malla mosquetera)
 $4,370  FL/71945 S NAZAL (anticorrosivo)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$41,378  L.COMPRA F/91469 SOC MUÑOZ Y PAREDES(guant latex,toalla pap)
 $6,909  L.COMPRA FL/146376 ALUMINIOS 2000 LTDA (aluminios)
</t>
        </r>
      </text>
    </comment>
    <comment ref="N20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$10,000  FONDO A RENDIR N°35 HUGO PADILLA TORRES
 $24,503  L.COMPRA F/795938 GREZ Y ULLOA (ampolletas con dimer)
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Muestreos</t>
        </r>
      </text>
    </comment>
    <comment ref="M2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muestreos</t>
        </r>
      </text>
    </comment>
    <comment ref="N2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muestreos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7 Personas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9 Personas
3 Personas Reproduccion
6 Personas Engorde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KwH 4.706</t>
        </r>
      </text>
    </comment>
    <comment ref="K3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total: 16.813 kwh</t>
        </r>
      </text>
    </comment>
    <comment ref="M3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total Kwh: 28.031</t>
        </r>
      </text>
    </comment>
    <comment ref="N3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Provision</t>
        </r>
      </text>
    </comment>
    <comment ref="N3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1 UF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$4,461  L.COMPRA FL N° 131343 COMERCIAL ALUN LTDA.(Bencina)(Red.9)
 $6,000  RENDICION CAJA CHICA N° 9 PAULINA PEREZ
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$17,940  L.COMPRA FL N° 134135 COMERCIAL ALUN LTDA.(Bencina)
 $5,000  RENDICION N°12 HUGO P combustible bomba
 $13,426  L.COMPRA FL N° 137462 COMERCIAL ALUN LTDA.
 $13,421  L.COMPRA FL N° 137598 COMERCIAL ALUN LTDA.(Bencina)
</t>
        </r>
      </text>
    </comment>
    <comment ref="H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$13,426  L.COMPRA FL N° 138296 COMERCIAL ALUN LTDA.(Bencina)
 $34,705  L.COMPRA FL N° 138931 COMERCIAL ALUN LTDA.(Petroleo)
 $13,885  L.COMPRA F/141267 COM Y SER ALUN bencina ENVASE
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$19,736  L.COMPRA F/17001 EL VOLCAN COMBUSTBLE (combustible)
 $14,574  L.COMPRA F/141625 COM Y SERV ALUN (gasolina93)
 $18,792  L.COMPRA F/17104 EL VOLCAN COMBUSTIBLE (gasolina envase)
 $23,567  L.COMPRA F/142203 COM Y SER ALUN (bencina envase)
 $20,663  L.COMPRA F/142362 COM Y SER ALUN (bencina envase)
 $14,043  L.COMPRA F/143427 COM Y SERV ALUN gasolina 93
 $18,729  L.COMPRA F/17712 EL VOLCAN COMBUSTIBLE bencina93-petroleo
</t>
        </r>
      </text>
    </comment>
    <comment ref="J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$36,212  L.COMPRA FL/144495 COMER.SERV.ALUN LTDA.(GAS 93)
 $13,974  L.COMPRA FL/144496 COMER.SERV.ALUN LTDA. (GAS 93)
 $18,106  L.COMPRA FL/145100 COMERC.Y SERV.ALUN LTDA.(DIESEL)
 $27,178  L.COMPRA FL/145182  COMERC.Y SERV.ALUN LTDA.(DIESEL)
 $13,897  L.COMPRA FL/146313 ALUN LTDA( GASOLINA 93 SPP00)
 $4,632  L.COMPRA FL/146314  ALUN LTDA( GASOLINA 93 SPPV00)
 $18,472  L.COMPRA FL/146560 ALUN LTDA (GASO.93 ENV. SPPV00)
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$18,447  L.COMPRA FL182809 VELOSO S.A(envase SPPU31)
</t>
        </r>
      </text>
    </comment>
    <comment ref="L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$26,305  FL/149291 COM Y SERV ALUN (env generador)
 $34,314  FL/150760 COM Y SERV ALUN (com envase)
 $55,718  FL/151326 COM ALUN (comb generador)
 $43,530  FL/151343 COM ALUN (comb generador)
</t>
        </r>
      </text>
    </comment>
    <comment ref="M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$31,271  L.COMPRA F/152725 COM ALUN ltda (comb envase )
 $27,206  L.COMPRA FL/11559 COMERCIAL JPF LTDA (comb bomba)
 $26,199  L.COMPRA F/153737 COM Y SERV ALUN (comb motobomba)
 $40,669  L.COMPRA F/20873 EL VOLCAN COMB LTDA(comb  motobomba)
 $17,166  L.COMPRA FL/153907 COM Y SERV ALUN (comb bomba)
 $27,652  L.COMPRA FL/154088 COM Y SERV ALUN(comb bfpx93)
 $17,280  L.COMPRA FL/154542 COM Y SERV ALUN (comb bomba)
</t>
        </r>
      </text>
    </comment>
    <comment ref="N3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$17,140  L.COMPRA FL/154941 COM Y SERV ALUN(comb bomba)
 $27,920  L.COMPRA FL/154940 COM Y SERV ALUN(comb bomba)
 $30,126  L.COMPRA F/155265 COMERC Y SERV ALUN (combust generador)
 $9,004  L.COMPRA FL/155543 COM Y SERV ALUN (bencina motobomba)
 $25,924  L.COMPRA FL/155707 COMERC Y SERV ALUN(comn generador)
 $24,803  L.COMPRA FL/10775 OSCAR SALZAR PINEDA(comb generador)
 $30,799  L.COMPRA F/156185 COMER Y SERV ALUN (combust generador)
 $23,456  L.COMPRA F/11424220 ADM DE VTAS AL DETALLE(comb generador)
 $26,078  L.COMPRA F/156645 COMERC Y SERV ALUN (comb generador)
 $9,058  L.COMPRA F/156938 COMERC Y SERV ALUN (comb generador)
 $26,151  L.COMPRA F/157138 COMERC Y SERV ALUN (comb generador)
</t>
        </r>
      </text>
    </comment>
    <comment ref="N3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$16,500  FONDO A RENDIR N°37 HUGO PADILLA TORRES
</t>
        </r>
      </text>
    </comment>
    <comment ref="N36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$8,832  L.COMPRA FL/36 SOCIED COM ANKA (papel higenico)
</t>
        </r>
      </text>
    </comment>
    <comment ref="L3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duplalim
</t>
        </r>
      </text>
    </comment>
    <comment ref="N3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$58.497  AQ-1 
 $58,497  AQ-2
 $58,497  AQ-3 
</t>
        </r>
      </text>
    </comment>
    <comment ref="M3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$25,000  FONDO RENDIR N°31 HUGO P tubo aluminio concep-coronel
</t>
        </r>
      </text>
    </comment>
    <comment ref="N3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$12,500 Flete  L.COMPRA FF/59385 QWANTEC ING LTDA (kit reloj control)
</t>
        </r>
      </text>
    </comment>
    <comment ref="M40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21,437  L.COMPRA FS/31944694 RENDIC HNOS(te,confort para oficina )
 3,353  L.COMPRA FS/70798085 ADM SUPERM HIPER( mosuse Sonia)
</t>
        </r>
      </text>
    </comment>
    <comment ref="N40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$21,437  L.COMPRA FS/31944694 RENDIC HNOS(te,confort para oficina )
 $3,353  L.COMPRA FS/70798085 ADM SUPERM HIPER( mosuse Sonia)
 $21,462  L.COMPRA F/60 EDUARDO GIRONAS TORRES(agujas, carpetas)
 $8,152  L.COMPRA F/61 EDUARDO GIRONAS TORRES(huellero,tijeras)
</t>
        </r>
      </text>
    </comment>
    <comment ref="L4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$3,874  FS/ 70643791 HIPER LIDER (alcohol y algodon)
 $104,168  FL/22462877 EASY(silla y mosquetera, error compra misma fac)
 $33,618  FL/251873 AGRIC Y GANAD SAN VCTE (contador de ganado manual)
 $31,000  FL/133 JUAN PABLO CONTRERAS (tablas,palos)
 $39,000  FL/131 JUAN PABLO CONTRERAS (palos2*3)
 $611,176  FL/3773 VAKI SPA (OC: 212) medidor oxigeno
 $32,941  FL/7405 FERRET MATCO(rodillo,aguarras,anticorrosivo)
 $8,404  FL/126 MARIA RODRIGUEZ( madera pino)
 $107,395  FL/1600 ARMADO CANCINO(bateria 150 amp)
 $14,000  FL/107 RAFAEL DUENAS (perfil aluminio)
 $6,050  FL/103509 COM EX GOLOSIN LTDA (bolsa transp)
 $30,252  FL/3089 ORTOMEDICAL (gelpack muestras)
 $35,656  FL/10185 GUILLERMO MELO (lija,bombin)
 $95,634  FL/618667 INDURA (arriendo equipo)
 $33,887  FL/60224 SOC COM JHON STEVENS(polea cigueñal)
 $9,731  FL/106316139 SODIMAC (escobillones)
 $15,042  FL/328 SOC FLORES RUBILAR (flexible)
 $19,101  FL/71945 S NAZAL (anticorrosivo)
 $355,480  FL/65898 SOC COM VIDEOVISION OC:201
 $8,739  FL/1523 JOSE VIVIAN ESPINOSA(corta corriente)
 $13,613  FL/1566 COM S Y R LTDA (pintura,tuerca)
 $28,572  FL/171 FERRET LA DINSA TUCAPEL(basurero)
 $21,176  FL/71941 S NAZAL (cinta de embalaje)
 $20,000  FL/282 FRANCISCO RUBILAR SANHUEZA (cañeria presion)
 $73,950  INSUMOS MES JULIO 2020
 $298,740  INSUMOS MES JULIO 2020 POLCURA
 $58,856  FL/179 FERRETERIA LA DINSA (sierra,mosqueton,aceite)
 $29,949  FL/180 FERRET LA DINSA (clavo,manguera,martillo)
 $10,507  FL/15192 COMERC VALENTINO LTDA (mascarilla,atiparra)
</t>
        </r>
      </text>
    </comment>
    <comment ref="M4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$10,507  FL/15192 COMERC VALENTINO LTDA (mascarilla,atiparra)
 $51,804  L.COMPRA F/774217 GREZ Y ULLOA(huincha,ampolleta.otros)
 $31,933  L.COMPRA F/72317 S NAZAL (cerraduras)
 $93,902  L.COMPRA F/72312 S NAZAL(cinta,silicona,anticorro)
 $29,328  L.COMPRA F/63528 MARIA OLALDE (colador,guante vinilo)
 $114,622  L.COMPRA F/27 JAIME SALGADO PAREDES(silicona,tornillo,cables
 $147,218  L.COMPRA F/72380 S NAZAL (clavos4x8,polietileno decantador)
 $121,385  L.COMPRA F/774388 GREZ Y ULLOA(ampolleta,enchufes,otros)
 $160,500  L.COMPRA F/807 CARLOS CUEVAS BASTIAS(aceite,brochas,otros)
 $136,975  L.COMPRA F/809 CARLOS CUEVAS BASTIAS(diluyente,zinc,otros)
 $44,909  L.COMPRA F/808 CARLOS CUEVAS BASTIAS(disco,oberol,silicona)
 $44,538  L.COMPRA F/28 JAMIE SALGADO PAREDES(bomba sumergible)
 $60,000  L.COMPRA F/131 MARIA RODRIGUEZ (descarga estanques)
 $56,891  L.COMPRA F/7701 FERRET MATCO PABLO RIQUELME(enchufe,manilla)
 $360,000  L.COMPRA F/135 JUAN PABLO CONTRERAS (rep puents,decantador)
 $270,000  L.COMPRA F/134 JUAN PABLO CONTRERAS (rep puents,decantador)
 $38,992  L.COMPRA FL/11229 SOC ACCES DON PEPE LTDA (mantenc dlxl58)
 $76,472  L.COMPRA FL/29 JAIME SALGADO PAREDES(fierros,grapa,tecle)
 $270,000  L.COMPRA F/136 JUAN PABLO CONTRERAS (rep puents,decantador)
 $104,855  L.COMPRA F/42163 SERMAHIN LTDA (acople hidraulico,flex)
 $109,862  L.COMPRA F/73109 S NAZAL (cinta,balde.hisopo)
 $2,773  L.COMPRA FL/825 CARLOS FAUSTINO CUEVAS(aceite)
 $925,728  INSUMOS MES AGOSTO 2020
 $10,000  FONDO A RENDIR N°33 HUGO PADILLA TORRES(aluminios)
 $6,720  FONDO A RENDIR N°33 HUGO PADILLA TORRES(bolsas plasticas)
</t>
        </r>
      </text>
    </comment>
    <comment ref="N4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$132,714  L.COMPRA FL/57080 EMILIANO SAGURIE Y  CIA(guante,disco)
 $85,638  L.COMPRA FL/791380 GREZ Y ULLOA(bomba,codo,terminal)
 $16,840  L.COMPRA FL/57140 EMILIANO SAGURIE(copla,valvula,ampolleta)
 $32,067  L.COMPRA FL/73421 SNAZAL (cinta de embalaje)
 $96,096  L.COMPRA FL/66560 COMERC MAT DE FERRE(bolsa,controlador)
 $222,500  L.COMPRA F/4717 CONFECC Y PRODUCC DE CARPAS(pegamento,lonas)
 $84,474  L.COMPRA FL/2993352 CEMENTOS BIO BIO(arena industrial)
 $415,034  L.COMPRA F/57360 EMILIANO SAGURIE (soldadura,diluyente)
 $50,948  L.COMPRA F/8026181 KUPFER (tubos)
 $147,202  L.COMPRA F/73742 S NAZAL (filtro,rejilla.lija)
 $17,196  L.COMPRA F/8024184 KUPFER HNOS(electrodo)
 $17,071  L.COMPRA FL/4086313 ELECTROCOM (interruptor,cable)
 $18,510  L.COMPRA F/67307 COMERDE MAT DE FERRE(terminal hd,lija)
 $94,454  L.COMPRA F/7353 S NAZAL (pvc union, cinta,disco)
 $52,072  L.COMPRA F/67483 COMERC DE MATER DE FERRET (collarin-termi)
 $43,765  L.COMPRA F/74065 S NAZAL (malla cuadrada)
 $28,571  L.COMPRA F/43112 SERMAHIN LTDA (tubing-conector)
 $215,491  L.COMPRA F/74130 NAZAL SA (malla,broca)
 $25,651  FONDO A RENDIR N°36 HUGO PADILLA TORRES(pegamento estanques)
 $58,006  L.COMPRA F/74 GONZALO SALZAR (foco led,cable)
 $60,504  L.COMPRA F/72 GONZALO SALAZAR HERNANDEZ(focos led)
 $21,251  L.COMPRA FL/32120860 RENDIC HNOS (escobillones)
 $138,474  L.COMPRA F/3000563 CEMENTOS BIO BIO S.A(bolones)
 $100,840  L.COMPRA F/377 ALEJANDRO CHAVARRIA (bolones)
 $22,000  FONDO A RENDIR N°16 RAÚL SOTO MALDONADO
 $488,839  INSUMOS MES SEPTIEMBRE 2020
</t>
        </r>
      </text>
    </comment>
    <comment ref="L4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$44,070  FL/250561 SEGURIDAD INDUSTRIAL (parka term)
 $22,090  FL/250562 SEGURIDAD INDUSTRIAL (parka term,botas)
 $72,980  FL/250728 SEGURIDAD INDUSTRIAL (bota,parka)
 $21,800  FL/250727 SEGURIDAD INDUTRIAL (bota,zapato seguridad)
 $14,690  FL/250682 SEGURIDAD INDUTRIAL (parka termica)
 $51,470  FL/250684 SEGURIDAD INDUSTRIAL (parka term,bota)
 $25,880  FL/1426199 TRECK (guante,bota)
</t>
        </r>
      </text>
    </comment>
    <comment ref="N4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$2,120  INSUMOS MES SEPTIEMBRE 2020
</t>
        </r>
      </text>
    </comment>
    <comment ref="L4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171,490  L.COMPRA FL/67 ACUIOX  CHILE SPA (O/C: 202) Mantencion de equipo Handy Polaris
 187,400  FL/130 JOSE MANUEL LEIVA (OC:224) Serv. Mantencion electrica
 180,000  PROVISION FL/2212 SOC COMERC LAGUNA SPA (rep cam Padilla)
</t>
        </r>
      </text>
    </comment>
    <comment ref="M4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105,000  L.COMPRA FL/3841 VAKI SPA OC 234 (reparación oxiguard)
 2,500,000  L.COMPRA FL/15 RUBEN KAUSER ASTETE (trabajo electrico) oc218
</t>
        </r>
      </text>
    </comment>
    <comment ref="N4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$1,012,500   Reproduccion  L.COMPRA FL/78 LUIS GARRIDO(reparac estanques 50%anticip)
 $168,067   Reproduccion  BOL HON TERC N°28 LEONEL SEPULVEDA rep piscina decantac_Polc
 $50,000   Produccion  L.COMPRA F/34 LGV CONTRATISTA Y SERV (mant torre sala alevi)
 $60,000   Produccion  L.COMPRA F/35 LGV CONTRATISTA Y SERV (poste alimentac,repara
 $30,000   Produccion  L.COMPRA F/36 LGV CONTRATISTA Y SERV SPA(instal. automaticos
 $302,521   Produccion  BOL HON TERC N°31 JOSE SEPULVEDA varios trabajos en Polcura
</t>
        </r>
      </text>
    </comment>
    <comment ref="L4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$336,134  BOL HON N°44 RAUL SOTO asesoría acuícola Polcura_Julio2020
 $2,240,896  BOL HON N°2 MANUEL JARA ases desove e incubación_Polcura
</t>
        </r>
      </text>
    </comment>
    <comment ref="M4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$3,559  INSUMO MES DE AGOSTO
 $172,001  CONSUMO ALIMENTO REPRODUCTORES (Salmones Chile lote-1)
</t>
        </r>
      </text>
    </comment>
    <comment ref="K4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$324,930  BOL HON TERC N°9 JOSE SEP inst estufas,techado estanq_Polcur
 $436,975  BOL HON TERC N°10 JAIME CID serv mayo llenado gavions_Polcur
 $291,317  BOL HTERC/11 JORGE VERA llenad gavions ntrada agua13días_Pol
 $291,317  BOL HTERC/12 JORGE RIQU llenad gavions ntrada agua13días_Pol
 $313,725  BOL HTERC/13 JAIME CID llenad gavions ntrada agua14días_Pol
 $201,681  BOL HTERC/14 LUIS MUÑOZ llenad gavions ntrada agua 9días_Pol
 $246,499  BOL HTERC/15 ARON UMANZ llenad gavions ntrada agua11días_Pol
 $455,574  BOL HON TERC N°17 PAULINA PEREZ serv adm mes Junio_Polcura
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$1,120,448  BOL HON TERC N°18 JOSE SEPULV mano obra Torre Polcura_oc163
 $455,574  BOL HON TERC N°19 PAULINA PEREZ serv adm mes Julio_Polcura
</t>
        </r>
      </text>
    </comment>
    <comment ref="M4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$201,681  BOL HON TERC N°24 JOSE SEP luces sala incub,fab puents,fibra
 $455,574  BOL HON TERC N°25 PAULINA PEREZ serv adm mes Agosto_Polcura
 $29,824  BOL HON TERC N°27 FABIAN MARTINEZ dos días de trabajo_Polcur
</t>
        </r>
      </text>
    </comment>
    <comment ref="N4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$455,574  BOL HON TERC N°29 PAULINA PEREZ serv adm mes Sept_Polcura
</t>
        </r>
      </text>
    </comment>
    <comment ref="L5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15,000  RENDICION FR 5 SEBASTIAN viaje a Polcura
 17,548  FL/149597 COM Y SERV ALUN (camioneta FSWH34)
 45,469  FL/149586 COM Y SERV ALUN (camioneta JHSZ88)
 12,281  FL/203786 FORTEZA BUSTOS DISTR COMB (comb)
 24,508  FL/150086 COM Y SERV ALUN(camioneta JHSZ88)
 26,306  FL/150377 COM Y SERV ALUN (camioneta JHSZ88)
 17,472  FL/150768 COM ALUN (comb FSWH34)
 33,634  FL/150956 COM Y SERV ALUN (comb JHSZ88)
 29,523  FL/19945 EL VOLCAN COMB( comb vehiculo
 17,413  FL/151299 COM ALUN (comb FSWH34)
 28,733  FL/20043 EL VOLCAN COMB ( comb JHSZ88)
 131,023  RENDICION FR 15 RAÚL SOTO
 29,339  FL/11198668 ADM VTAS DETALLE (comb JHSZ88)
</t>
        </r>
      </text>
    </comment>
    <comment ref="M5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$19,102  FL/343639 DIST COMB LABAYRU(camioneta dlxl58)
 $16,303  FL/343641 DIST COMB LABAYRU (comb bomba)
 $16,443  L.COMPRA F/11222442 ADM VTAS AL DETALLE( comb fswh34)
 $28,674  FL/11236548 ADM VTAS AL DETALLE (comb jhsz88)
 $18,234  L.COMPRA F/11248384 ADM VTAS AL DETALLE(comb HPadilla)
 $13,032  L.COMPRA F/10391 OSCAR SALZAR PINEDA (comb fswh34)
 $17,798  L.COMPRA F/152683 COM ALUN ltda (comb jhsz88)
 $17,370  L.COMPRA F/11265841 ADM VTAS AL DETALLE (comb dlxl58)
 $17,913  L.COMPRA FL/209736 FORTEZA BUSTOS (comb fswh34)
 $17,351  L.COMPRA F/10465 OSCAR SALAZAR PINEDA (comb fswh34)
 $26,289  L.COMPRA F/11285756 ADM DE VTAS AL DETALLE (comb jhsz88)
 $34,000  FONDO A RENDIR N°32 HUGO PADILLA(viaje accidente achs)
 $17,817  L.COMPRA FL/153860 COM Y SERV ALUN (comb jhsz88)
 $17,282  L.COMPRA FL/20872 EL VOLCAN COMB(comb fswh34)
 $12,097  L.COMPRA FL/11315758 ADM VTAS AL DETALLE(comb jhsz88)
 $16,418  L.COMPRA FL/20984 EL VOLCAN COMBUST (combust fswh34)
 $20,729  L.COMPRA FL/11332419 ADM VTAS AL DETALLE(comb jhsz88)
 $12,095  L.COMPRA FL/11342662 ADM VTAS AL DETALLE (comb jhsz88)
</t>
        </r>
      </text>
    </comment>
    <comment ref="N5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$48,167  L.COMPRA FL/154735 COM Y SERV ALUN(comb FSWH34)
 $224,072  L.COMPRA FL/155106 COM Y SERV ALUN(comb jhfz88)
 $12,826  L.COMPRA F/11424219 ADM VTAS AL DETALLE (comb dlxl58)
 $70,010  FONDO A RENDIR N°3 SEBASTIAN DIAZ
 $30,812  FONDO A RENDIR N°16 RAÚL SOTO MALDONADO
</t>
        </r>
      </text>
    </comment>
    <comment ref="L5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14,411  FL/19569 OMAR REGLA (art libreria)
</t>
        </r>
      </text>
    </comment>
    <comment ref="L5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$46,261  FS/70643524 ADM SUP HIPER (art aseo oficina)
</t>
        </r>
      </text>
    </comment>
    <comment ref="M5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$97,713  L.COMPRA FL/66287 VIDEOVISION LTDA. (O/C: 201) Video Grabador y cable UTP
</t>
        </r>
      </text>
    </comment>
    <comment ref="L5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$279,411  FL/131 LUIS PILQUINAO(reparación camioneta)
 $19,226  FL/59879 SOC COMER JOHN STEVENS (repues camioneta BFPX93)
 $84,034  FL/60 CARLOS HEREDIA (frenos furgón bfpx93)
 $9,200  RENDICION FR N° 30 HUGO PADILLA
 $6,000  RENDICION FR 15 RAÚL SOTO
 $405,303  PROVISION FL/2212 SOC COMERC LAGUNA SPA (rep cam Padilla)
</t>
        </r>
      </text>
    </comment>
    <comment ref="M5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$102,857  L.COMPRA FL/11229 SOC ACCES DON PEPE LTDA (mantenc dlxl58)
 $22,500  FONDO A RENDIR N°33 HUGO PADILLA TORRES
</t>
        </r>
      </text>
    </comment>
    <comment ref="N58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$361,766   (mantencion fswh34)
 $87,437  L.COMPRA F/3804 SOC COMERCIAL DYD LTDA
</t>
        </r>
      </text>
    </comment>
    <comment ref="N59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$20,000  RENDICION FONDO FIJO N°1 MELISSA DELGADO
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7220 L.COMPRA F/8998781 CHILEXPRESS S.A (envío facturas)
</t>
        </r>
      </text>
    </comment>
    <comment ref="L6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$44,480  RENDICION FR N° 30 HUGO PADILLA
 $7,199  RENDICION FR N° 30 HUGO P bolsas para enviar peces a muestra
 $2,500  RENDICION FR N° 30 HUGO PADILLA
 $5,000  RENDICION FR N° 30 HUGO PADILLA
</t>
        </r>
      </text>
    </comment>
    <comment ref="M61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30,000  FONDO A RENDIR N°32 HUGO PADILLA(leña pisc Polcura)
</t>
        </r>
      </text>
    </comment>
    <comment ref="L6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$42,017  FL/322 SERV RUCAMANQUI (estadia asesor Raúl Soto)
 $16,000  FL/167 ANSELMO VELOSO (hospedaje Carla)
</t>
        </r>
      </text>
    </comment>
    <comment ref="M62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$32,000  L.COMPRA FL/171 ANSELMO VELOSO(hospedaje Karla y Goisha)
</t>
        </r>
      </text>
    </comment>
    <comment ref="L6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$850  RENDICION FR 5 SEBASTIAN viaje a Polcura
 $7,500  RENDICIÓN FR N°29 HUGO PADILLA
 $130,202  RENDICION FR N° 30 HUGO PADILLA
 $16,250  RENDICION FR 15 RAÚL SOTO
</t>
        </r>
      </text>
    </comment>
    <comment ref="M6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$87,181  FONDO RENDIR N°31 HUGO PADILLA
 $28,176  FONDO A RENDIR N°32 HUGO PADILLA
 $70,550  FONDO A RENDIR N°33 HUGO PADILLA TORRES
</t>
        </r>
      </text>
    </comment>
    <comment ref="N63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$35,629  FONDO A RENDIR HUGO PADILLA TORRES
 $20,490  FONDO A RENDIR SEBASTIAN DIAZ
 $21,014  FONDO A RENDIR  RAÚL SOTO MALDONADO
</t>
        </r>
      </text>
    </comment>
    <comment ref="N64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$2,800  RENDICION FONDO FIJO N°1 MELISSA DELGADO
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$6,000  RENDICION FR 5 SEBASTIAN viaje a Polcura
 $13,300  RENDICIÓN FR N°29 HUGO PADILLA
 $21,100  RENDICION FR N° 30 HUGO PADILLA
 $31,400  RENDICION FR 15 RAÚL SOTO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$23,700  FONDO RENDIR N°31 HUGO PADILLA
 $3,540  FONDO A RENDIR N°32 HUGO PADILLA
 $31,900  FONDO A RENDIR N°33 HUGO PADILLA TORRES
</t>
        </r>
      </text>
    </comment>
    <comment ref="N65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$61,600  FONDO A RENDIR  HUGO PADILLA TORRES
 $24,000  FONDO A RENDIR  SEBASTIAN DIAZ
 $31,100  FONDO A RENDIR  RAÚL SOTO MALDONADO
</t>
        </r>
      </text>
    </comment>
    <comment ref="L6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$71,242  FS/70672473 HIPERM LIDER (viveres Ariel Cortez)
 $5,882  FS/31866712 RENDIC UNIMARC (viveres Padilla)
 $30,306  FS/31866711 RENDIC UNIMARC (viveres Padilla)
 $22,757  FS/31875209 RENDIC HNOS (viveres)
 $24,300  FS/31875210 RENDIC HNOS (viveres Padilla)
 $70,245  FS/70701108 ADM SUP HIPER (viveres)
 $7,538  FS/31881552 RENDIC HRNOS (viveres asesor Raúl Soto)
</t>
        </r>
      </text>
    </comment>
    <comment ref="M6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$59,168  L.COMPRA FS/70672642 ADM SUOERM HIPER(utiles aseo oficina)
 $75,324  L.COMPRA FS/70733084 ADM SUPERM HIPER (viveres Ariel C.)
 $34,184  L.COMPRA F/31913341 RENDIC HNOS (viveres HP)
 $13,839  L.COMPRA FS/31936847 RENDIC HNOS. (viveres HP)
</t>
        </r>
      </text>
    </comment>
    <comment ref="N67" authorId="0" shapeId="0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$52,865  L.COMPRA FS/70798084 ADM SUPERM HIPER(viveres HP)
 $78,442  L.COMPRA FS/70798134 ADM SUPER HIPER(viveres Ariel Cortez)
 $66,150  L.COMPRA FS/70798243 ADM SUPERM HIPER (viveres HP)
 $28,249  L.COMPRA FS/32111128 RENDIC HNOS(viveres)
 $4,951  L.COMPRA FS/32120859 RENDIC HNOS(viveres HP)
</t>
        </r>
      </text>
    </comment>
  </commentList>
</comments>
</file>

<file path=xl/sharedStrings.xml><?xml version="1.0" encoding="utf-8"?>
<sst xmlns="http://schemas.openxmlformats.org/spreadsheetml/2006/main" count="165" uniqueCount="60">
  <si>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</si>
  <si>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</si>
  <si>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</si>
  <si>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</si>
  <si>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</si>
  <si>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</si>
  <si>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</si>
  <si>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</si>
  <si>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</si>
  <si>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</si>
  <si>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Trucha Engorde Hendrix 1</t>
  </si>
  <si>
    <t>Trucha Engorde Hendrix 2</t>
  </si>
  <si>
    <t xml:space="preserve">AQ 01 </t>
  </si>
  <si>
    <t>AQ 02</t>
  </si>
  <si>
    <t>AQ 03</t>
  </si>
  <si>
    <t>AQ 04</t>
  </si>
  <si>
    <t>AQ 05</t>
  </si>
  <si>
    <t>AQ 06</t>
  </si>
  <si>
    <t>Total Gastos Variables</t>
  </si>
  <si>
    <t>Costos Fijos</t>
  </si>
  <si>
    <t>Total Costos Fijos</t>
  </si>
  <si>
    <t>Gastos Pendientes por refacturar</t>
  </si>
  <si>
    <t xml:space="preserve">Costos Fijos + Variables+ Gastos pend. </t>
  </si>
  <si>
    <t>Total Acumulado</t>
  </si>
  <si>
    <t>Noviembre</t>
  </si>
  <si>
    <t>Octubre</t>
  </si>
  <si>
    <t>Cuenta</t>
  </si>
  <si>
    <t>Distribucion de Costos Fijos</t>
  </si>
  <si>
    <t xml:space="preserve">Area </t>
  </si>
  <si>
    <t xml:space="preserve">Criterio de reparticion de costos de area </t>
  </si>
  <si>
    <t>Porcentaje</t>
  </si>
  <si>
    <t>Reproduccion y Alevinaje</t>
  </si>
  <si>
    <t>Engorde</t>
  </si>
  <si>
    <t>Unidades</t>
  </si>
  <si>
    <t xml:space="preserve">unidades 6 meses </t>
  </si>
  <si>
    <t>unidades 6 meses</t>
  </si>
  <si>
    <t>Ver CC OC</t>
  </si>
  <si>
    <t>Unidades de grupo</t>
  </si>
  <si>
    <t xml:space="preserve">Codigos </t>
  </si>
  <si>
    <t>Productos</t>
  </si>
  <si>
    <t>Ova Verde</t>
  </si>
  <si>
    <t>Ova Ojo</t>
  </si>
  <si>
    <t>Alevines First Feeding</t>
  </si>
  <si>
    <t>Alevines Smolt</t>
  </si>
  <si>
    <t>Trucha de Engorde</t>
  </si>
  <si>
    <t>% Aplicado</t>
  </si>
  <si>
    <t>Polcura</t>
  </si>
  <si>
    <t>Total Piezas</t>
  </si>
  <si>
    <t>Total Piezas Reproduccion</t>
  </si>
  <si>
    <t>Piezas Reproductores</t>
  </si>
  <si>
    <t>Ovas Verde</t>
  </si>
  <si>
    <t>Ovas Con Ojos AQ-4</t>
  </si>
  <si>
    <t>Ovas Con Ojos AQ-5</t>
  </si>
  <si>
    <t>Total Piezas Engorde</t>
  </si>
  <si>
    <t>Alevines Smolt FT</t>
  </si>
  <si>
    <t>Reproduccion por lote</t>
  </si>
  <si>
    <t>Reproduccion</t>
  </si>
  <si>
    <t>Total</t>
  </si>
  <si>
    <t>Distribucion %</t>
  </si>
  <si>
    <t>Cuentas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</si>
</sst>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&quot;$&quot;* #,##0_-;\-&quot;$&quot;* #,##0_-;_-&quot;$&quot;* &quot;-&quot;_-;_-@_-"/>
    <numFmt numFmtId="166" formatCode="_-* #,##0_-;\-* #,##0_-;_-* &quot;-&quot;??_-;_-@_-"/>
    <numFmt numFmtId="167" formatCode="_ &quot;$&quot;* #,##0_ ;_ &quot;$&quot;* \-#,##0_ ;_ &quot;$&quot;* &quot;-&quot;_ ;_ @_ "/>
    <numFmt numFmtId="168" formatCode="_ * #,##0_ ;_ * \-#,##0_ ;_ * &quot;-&quot;_ ;_ @_ "/>
    <numFmt numFmtId="169" formatCode="_ [$$-340A]* #,##0_ ;_ [$$-340A]* \-#,##0_ ;_ [$$-340A]* &quot;-&quot;??_ ;_ @_ "/>
    <numFmt numFmtId="170" formatCode="&quot;$&quot;#,##0;[Red]&quot;$&quot;\-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140">
    <xf numFmtId="0" fontId="0" fillId="0" borderId="0" xfId="0"/>
    <xf numFmtId="9" fontId="0" fillId="0" borderId="0" xfId="2" applyFont="1"/>
    <xf numFmtId="166" fontId="0" fillId="0" borderId="0" xfId="1" applyNumberFormat="1" applyFont="1"/>
    <xf numFmtId="0" fontId="2" fillId="0" borderId="0" xfId="0" applyFont="1"/>
    <xf numFmtId="0" fontId="2" fillId="2" borderId="0" xfId="0" applyFont="1" applyFill="1"/>
    <xf numFmtId="9" fontId="0" fillId="0" borderId="0" xfId="0" applyNumberFormat="1"/>
    <xf numFmtId="0" fontId="2" fillId="3" borderId="1" xfId="0" applyFont="1" applyFill="1" applyBorder="1"/>
    <xf numFmtId="0" fontId="2" fillId="3" borderId="2" xfId="0" applyFont="1" applyFill="1" applyBorder="1"/>
    <xf numFmtId="0" fontId="0" fillId="4" borderId="3" xfId="0" applyFill="1" applyBorder="1"/>
    <xf numFmtId="0" fontId="2" fillId="3" borderId="4" xfId="0" applyFont="1" applyFill="1" applyBorder="1"/>
    <xf numFmtId="0" fontId="2" fillId="3" borderId="0" xfId="0" applyFont="1" applyFill="1"/>
    <xf numFmtId="0" fontId="0" fillId="4" borderId="5" xfId="0" applyFill="1" applyBorder="1"/>
    <xf numFmtId="0" fontId="2" fillId="3" borderId="6" xfId="0" applyFont="1" applyFill="1" applyBorder="1"/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0" borderId="4" xfId="6" applyBorder="1"/>
    <xf numFmtId="9" fontId="5" fillId="0" borderId="0" xfId="0" applyNumberFormat="1" applyFont="1"/>
    <xf numFmtId="9" fontId="5" fillId="0" borderId="5" xfId="0" applyNumberFormat="1" applyFont="1" applyBorder="1"/>
    <xf numFmtId="0" fontId="0" fillId="0" borderId="5" xfId="0" applyBorder="1"/>
    <xf numFmtId="9" fontId="0" fillId="0" borderId="5" xfId="0" applyNumberFormat="1" applyBorder="1"/>
    <xf numFmtId="9" fontId="0" fillId="0" borderId="7" xfId="0" applyNumberFormat="1" applyBorder="1"/>
    <xf numFmtId="9" fontId="0" fillId="0" borderId="8" xfId="0" applyNumberForma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9" fontId="0" fillId="0" borderId="0" xfId="2" applyFont="1" applyBorder="1" applyAlignment="1">
      <alignment horizontal="center"/>
    </xf>
    <xf numFmtId="9" fontId="0" fillId="0" borderId="5" xfId="2" applyFont="1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3" borderId="3" xfId="0" applyFont="1" applyFill="1" applyBorder="1"/>
    <xf numFmtId="0" fontId="2" fillId="5" borderId="4" xfId="0" applyFont="1" applyFill="1" applyBorder="1"/>
    <xf numFmtId="168" fontId="2" fillId="5" borderId="0" xfId="7" applyFont="1" applyFill="1" applyBorder="1"/>
    <xf numFmtId="168" fontId="2" fillId="5" borderId="5" xfId="7" applyFont="1" applyFill="1" applyBorder="1"/>
    <xf numFmtId="168" fontId="2" fillId="3" borderId="0" xfId="7" applyFont="1" applyFill="1" applyBorder="1"/>
    <xf numFmtId="168" fontId="2" fillId="3" borderId="5" xfId="7" applyFont="1" applyFill="1" applyBorder="1"/>
    <xf numFmtId="168" fontId="2" fillId="3" borderId="4" xfId="0" applyNumberFormat="1" applyFont="1" applyFill="1" applyBorder="1"/>
    <xf numFmtId="168" fontId="0" fillId="0" borderId="0" xfId="7" applyFont="1" applyBorder="1"/>
    <xf numFmtId="168" fontId="0" fillId="0" borderId="5" xfId="7" applyFont="1" applyBorder="1"/>
    <xf numFmtId="168" fontId="0" fillId="0" borderId="0" xfId="2" applyNumberFormat="1" applyFont="1" applyFill="1" applyBorder="1"/>
    <xf numFmtId="9" fontId="0" fillId="0" borderId="0" xfId="2" applyFont="1" applyFill="1" applyBorder="1"/>
    <xf numFmtId="10" fontId="0" fillId="0" borderId="0" xfId="2" applyNumberFormat="1" applyFont="1" applyFill="1" applyBorder="1"/>
    <xf numFmtId="10" fontId="0" fillId="0" borderId="5" xfId="2" applyNumberFormat="1" applyFont="1" applyFill="1" applyBorder="1"/>
    <xf numFmtId="168" fontId="0" fillId="0" borderId="5" xfId="7" applyFont="1" applyFill="1" applyBorder="1"/>
    <xf numFmtId="0" fontId="2" fillId="6" borderId="4" xfId="0" applyFont="1" applyFill="1" applyBorder="1"/>
    <xf numFmtId="168" fontId="0" fillId="6" borderId="0" xfId="2" applyNumberFormat="1" applyFont="1" applyFill="1" applyBorder="1"/>
    <xf numFmtId="168" fontId="0" fillId="6" borderId="5" xfId="2" applyNumberFormat="1" applyFont="1" applyFill="1" applyBorder="1"/>
    <xf numFmtId="9" fontId="0" fillId="0" borderId="0" xfId="2" applyFont="1" applyBorder="1"/>
    <xf numFmtId="0" fontId="0" fillId="0" borderId="0" xfId="2" applyNumberFormat="1" applyFont="1" applyBorder="1"/>
    <xf numFmtId="0" fontId="0" fillId="0" borderId="5" xfId="2" applyNumberFormat="1" applyFont="1" applyBorder="1"/>
    <xf numFmtId="9" fontId="0" fillId="0" borderId="5" xfId="2" applyFont="1" applyBorder="1"/>
    <xf numFmtId="168" fontId="0" fillId="0" borderId="0" xfId="7" applyFont="1" applyFill="1" applyBorder="1"/>
    <xf numFmtId="168" fontId="0" fillId="0" borderId="7" xfId="7" applyFont="1" applyBorder="1"/>
    <xf numFmtId="168" fontId="0" fillId="0" borderId="7" xfId="7" applyFont="1" applyFill="1" applyBorder="1"/>
    <xf numFmtId="9" fontId="0" fillId="0" borderId="7" xfId="2" applyFont="1" applyBorder="1"/>
    <xf numFmtId="9" fontId="0" fillId="0" borderId="8" xfId="2" applyFont="1" applyBorder="1"/>
    <xf numFmtId="9" fontId="0" fillId="0" borderId="2" xfId="2" applyFont="1" applyFill="1" applyBorder="1"/>
    <xf numFmtId="0" fontId="0" fillId="0" borderId="3" xfId="0" applyBorder="1"/>
    <xf numFmtId="0" fontId="2" fillId="5" borderId="0" xfId="0" applyFont="1" applyFill="1"/>
    <xf numFmtId="0" fontId="2" fillId="5" borderId="6" xfId="0" applyFont="1" applyFill="1" applyBorder="1"/>
    <xf numFmtId="168" fontId="2" fillId="5" borderId="7" xfId="7" applyFont="1" applyFill="1" applyBorder="1"/>
    <xf numFmtId="168" fontId="2" fillId="5" borderId="8" xfId="7" applyFont="1" applyFill="1" applyBorder="1"/>
    <xf numFmtId="0" fontId="2" fillId="0" borderId="4" xfId="0" applyFont="1" applyBorder="1"/>
    <xf numFmtId="9" fontId="1" fillId="0" borderId="0" xfId="2" applyFont="1" applyFill="1" applyBorder="1"/>
    <xf numFmtId="10" fontId="1" fillId="0" borderId="0" xfId="2" applyNumberFormat="1" applyFont="1" applyFill="1" applyBorder="1"/>
    <xf numFmtId="10" fontId="1" fillId="0" borderId="5" xfId="2" applyNumberFormat="1" applyFont="1" applyFill="1" applyBorder="1"/>
    <xf numFmtId="168" fontId="0" fillId="7" borderId="0" xfId="7" applyFont="1" applyFill="1" applyBorder="1"/>
    <xf numFmtId="168" fontId="1" fillId="7" borderId="0" xfId="7" applyFont="1" applyFill="1" applyBorder="1"/>
    <xf numFmtId="10" fontId="1" fillId="7" borderId="0" xfId="2" applyNumberFormat="1" applyFont="1" applyFill="1" applyBorder="1"/>
    <xf numFmtId="168" fontId="1" fillId="8" borderId="0" xfId="7" applyFont="1" applyFill="1" applyBorder="1"/>
    <xf numFmtId="168" fontId="0" fillId="8" borderId="0" xfId="7" applyFont="1" applyFill="1" applyBorder="1"/>
    <xf numFmtId="10" fontId="1" fillId="8" borderId="0" xfId="2" applyNumberFormat="1" applyFont="1" applyFill="1" applyBorder="1"/>
    <xf numFmtId="0" fontId="4" fillId="0" borderId="4" xfId="0" applyFont="1" applyBorder="1"/>
    <xf numFmtId="168" fontId="4" fillId="0" borderId="0" xfId="7" applyFont="1" applyBorder="1"/>
    <xf numFmtId="168" fontId="4" fillId="0" borderId="0" xfId="7" applyFont="1" applyFill="1" applyBorder="1"/>
    <xf numFmtId="168" fontId="4" fillId="0" borderId="5" xfId="7" applyFont="1" applyFill="1" applyBorder="1"/>
    <xf numFmtId="0" fontId="4" fillId="0" borderId="0" xfId="0" applyFont="1"/>
    <xf numFmtId="168" fontId="4" fillId="0" borderId="0" xfId="2" applyNumberFormat="1" applyFont="1" applyFill="1" applyBorder="1"/>
    <xf numFmtId="168" fontId="1" fillId="0" borderId="0" xfId="7" applyFont="1" applyFill="1" applyBorder="1"/>
    <xf numFmtId="0" fontId="4" fillId="0" borderId="6" xfId="0" applyFont="1" applyBorder="1"/>
    <xf numFmtId="168" fontId="4" fillId="0" borderId="7" xfId="7" applyFont="1" applyBorder="1"/>
    <xf numFmtId="168" fontId="4" fillId="0" borderId="7" xfId="7" applyFont="1" applyFill="1" applyBorder="1"/>
    <xf numFmtId="0" fontId="4" fillId="0" borderId="7" xfId="0" applyFont="1" applyBorder="1"/>
    <xf numFmtId="168" fontId="4" fillId="0" borderId="8" xfId="7" applyFont="1" applyFill="1" applyBorder="1"/>
    <xf numFmtId="168" fontId="4" fillId="0" borderId="7" xfId="2" applyNumberFormat="1" applyFont="1" applyFill="1" applyBorder="1"/>
    <xf numFmtId="9" fontId="1" fillId="0" borderId="7" xfId="2" applyFont="1" applyFill="1" applyBorder="1"/>
    <xf numFmtId="10" fontId="1" fillId="0" borderId="7" xfId="2" applyNumberFormat="1" applyFont="1" applyFill="1" applyBorder="1"/>
    <xf numFmtId="10" fontId="1" fillId="0" borderId="8" xfId="2" applyNumberFormat="1" applyFont="1" applyFill="1" applyBorder="1"/>
    <xf numFmtId="168" fontId="0" fillId="0" borderId="8" xfId="7" applyFont="1" applyBorder="1"/>
    <xf numFmtId="168" fontId="0" fillId="0" borderId="0" xfId="0" applyNumberFormat="1"/>
    <xf numFmtId="167" fontId="0" fillId="0" borderId="0" xfId="4" applyFont="1"/>
    <xf numFmtId="0" fontId="2" fillId="0" borderId="0" xfId="0" applyFont="1" applyAlignment="1">
      <alignment wrapText="1"/>
    </xf>
    <xf numFmtId="167" fontId="0" fillId="0" borderId="0" xfId="0" applyNumberFormat="1"/>
    <xf numFmtId="169" fontId="0" fillId="0" borderId="0" xfId="5" applyNumberFormat="1" applyFont="1"/>
    <xf numFmtId="0" fontId="2" fillId="0" borderId="0" xfId="0" applyFont="1" applyAlignment="1">
      <alignment horizontal="center"/>
    </xf>
    <xf numFmtId="0" fontId="8" fillId="0" borderId="0" xfId="0" applyFont="1"/>
    <xf numFmtId="0" fontId="2" fillId="6" borderId="0" xfId="0" applyFont="1" applyFill="1" applyAlignment="1">
      <alignment horizontal="center"/>
    </xf>
    <xf numFmtId="3" fontId="0" fillId="0" borderId="0" xfId="0" applyNumberFormat="1"/>
    <xf numFmtId="4" fontId="0" fillId="0" borderId="0" xfId="0" applyNumberFormat="1"/>
    <xf numFmtId="167" fontId="9" fillId="0" borderId="0" xfId="4" applyFont="1" applyBorder="1"/>
    <xf numFmtId="167" fontId="2" fillId="6" borderId="0" xfId="4" applyFont="1" applyFill="1" applyAlignment="1">
      <alignment horizontal="center"/>
    </xf>
    <xf numFmtId="167" fontId="0" fillId="0" borderId="0" xfId="4" applyFont="1" applyFill="1"/>
    <xf numFmtId="165" fontId="1" fillId="0" borderId="0" xfId="3" applyFont="1" applyFill="1" applyBorder="1"/>
    <xf numFmtId="170" fontId="0" fillId="0" borderId="0" xfId="4" applyNumberFormat="1" applyFont="1"/>
    <xf numFmtId="167" fontId="1" fillId="0" borderId="0" xfId="4" applyFont="1" applyFill="1"/>
    <xf numFmtId="170" fontId="9" fillId="0" borderId="0" xfId="4" applyNumberFormat="1" applyFont="1" applyFill="1"/>
    <xf numFmtId="167" fontId="10" fillId="0" borderId="0" xfId="4" applyFont="1" applyFill="1"/>
    <xf numFmtId="167" fontId="9" fillId="0" borderId="0" xfId="4" applyFont="1" applyFill="1"/>
    <xf numFmtId="165" fontId="1" fillId="0" borderId="0" xfId="3" applyFont="1" applyFill="1" applyBorder="1" applyAlignment="1">
      <alignment horizontal="left"/>
    </xf>
    <xf numFmtId="167" fontId="2" fillId="2" borderId="0" xfId="4" applyFont="1" applyFill="1"/>
    <xf numFmtId="167" fontId="2" fillId="2" borderId="0" xfId="4" applyFont="1" applyFill="1" applyAlignment="1">
      <alignment horizontal="center"/>
    </xf>
    <xf numFmtId="9" fontId="11" fillId="0" borderId="0" xfId="0" applyNumberFormat="1" applyFont="1"/>
    <xf numFmtId="167" fontId="1" fillId="0" borderId="0" xfId="4" applyFont="1"/>
    <xf numFmtId="167" fontId="2" fillId="6" borderId="0" xfId="0" applyNumberFormat="1" applyFont="1" applyFill="1" applyAlignment="1">
      <alignment horizontal="center"/>
    </xf>
    <xf numFmtId="167" fontId="0" fillId="9" borderId="0" xfId="4" applyFont="1" applyFill="1"/>
    <xf numFmtId="167" fontId="0" fillId="10" borderId="0" xfId="4" applyFont="1" applyFill="1"/>
    <xf numFmtId="167" fontId="0" fillId="8" borderId="0" xfId="4" applyFont="1" applyFill="1"/>
    <xf numFmtId="167" fontId="0" fillId="6" borderId="0" xfId="4" applyFont="1" applyFill="1"/>
    <xf numFmtId="167" fontId="4" fillId="0" borderId="0" xfId="4" applyFont="1"/>
    <xf numFmtId="170" fontId="0" fillId="0" borderId="0" xfId="4" applyNumberFormat="1" applyFont="1" applyFill="1"/>
    <xf numFmtId="167" fontId="11" fillId="0" borderId="0" xfId="4" applyFont="1"/>
    <xf numFmtId="167" fontId="11" fillId="0" borderId="0" xfId="4" applyFont="1" applyFill="1"/>
    <xf numFmtId="167" fontId="11" fillId="0" borderId="0" xfId="4" applyFont="1" applyBorder="1"/>
    <xf numFmtId="167" fontId="2" fillId="0" borderId="0" xfId="0" applyNumberFormat="1" applyFont="1"/>
    <xf numFmtId="167" fontId="2" fillId="2" borderId="0" xfId="0" applyNumberFormat="1" applyFont="1" applyFill="1"/>
    <xf numFmtId="167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11" borderId="0" xfId="0" applyFill="1"/>
  </cellXfs>
  <cellStyles count="8">
    <cellStyle name="Millares" xfId="1" builtinId="3"/>
    <cellStyle name="Millares [0] 2" xfId="7"/>
    <cellStyle name="Moneda" xfId="5" builtinId="4"/>
    <cellStyle name="Moneda [0] 2" xfId="3"/>
    <cellStyle name="Moneda [0] 3" xfId="4"/>
    <cellStyle name="Normal" xfId="0" builtinId="0"/>
    <cellStyle name="Normal 2" xfId="6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335280</xdr:colOff>
      <xdr:row>0</xdr:row>
      <xdr:rowOff>91440</xdr:rowOff>
    </xdr:from>
    <xdr:to>
      <xdr:col>11</xdr:col>
      <xdr:colOff>99060</xdr:colOff>
      <xdr:row>5</xdr:row>
      <xdr:rowOff>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55572E24-1D10-4234-BDD7-D916C9C79AB8}"/>
            </a:ext>
          </a:extLst>
        </xdr:cNvPr>
        <xdr:cNvSpPr/>
      </xdr:nvSpPr>
      <xdr:spPr>
        <a:xfrm>
          <a:off x="2278380" y="91440"/>
          <a:ext cx="4610100" cy="8229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L" sz="1100"/>
            <a:t>cree</a:t>
          </a:r>
          <a:r>
            <a:rPr lang="es-CL" sz="1100" baseline="0"/>
            <a:t> una rango denominado cuentas que va desde la letra F22 a F29 en la hoja datos, mi duda es como puedo llamar a ese rango de nombre desde la celda B10 en la hoja reporte, mi idea es que al agregar una nueva cuenta enel rango de F22 a F29 este se vea reflejado en la hoja reporte </a:t>
          </a:r>
          <a:endParaRPr lang="es-C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A/Desktop/PRODUCCION/AQUA%20ISAM/Codificacion%20de%20seres%20Viv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bastian%20Diaz/Desktop/informe%20Isam/Pisciculturas/Reporte%20G.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A/Desktop/PRODUCCION/AQUA%20ISAM/Costos%20x%20Producto/Act%20%20Agosto%20%20Costeo%20x%20Grupo%20Polcura%20Acumu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ficacion"/>
      <sheetName val="Datos"/>
      <sheetName val="Base Completa"/>
      <sheetName val="Costeo Polcura"/>
      <sheetName val="Contabilizacion"/>
      <sheetName val="Distribucion de costos"/>
      <sheetName val="Capacidad"/>
      <sheetName val="Base"/>
      <sheetName val="Reproduccion por Producto"/>
      <sheetName val="Engorde"/>
    </sheetNames>
    <sheetDataSet>
      <sheetData sheetId="0">
        <row r="5">
          <cell r="B5" t="str">
            <v>Reproductores</v>
          </cell>
        </row>
        <row r="7">
          <cell r="B7" t="str">
            <v>AQSCH17T</v>
          </cell>
        </row>
        <row r="14">
          <cell r="B14" t="str">
            <v>AQSCH20T-F1-OV</v>
          </cell>
        </row>
        <row r="24">
          <cell r="B24" t="str">
            <v>AQSCH20TF1-OO</v>
          </cell>
        </row>
        <row r="34">
          <cell r="B34" t="str">
            <v>AQSCH20-F1-AFF</v>
          </cell>
        </row>
        <row r="46">
          <cell r="B46" t="str">
            <v>AQSCH20T-F1-SM</v>
          </cell>
        </row>
        <row r="56">
          <cell r="B56" t="str">
            <v>AQSCH20T-F1-TE-SP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Gerencial"/>
      <sheetName val="Reporte G"/>
      <sheetName val="Reporte Area Engorde 2"/>
      <sheetName val="Reprod x Lote"/>
      <sheetName val="Datos"/>
      <sheetName val="Reporte Dinamico"/>
      <sheetName val="Reporte AN"/>
      <sheetName val="Inf. Repro. x etap Crecim."/>
      <sheetName val="Produccion"/>
    </sheetNames>
    <sheetDataSet>
      <sheetData sheetId="0"/>
      <sheetData sheetId="1">
        <row r="34">
          <cell r="B34">
            <v>833799</v>
          </cell>
          <cell r="C34">
            <v>812634</v>
          </cell>
          <cell r="D34">
            <v>750642</v>
          </cell>
          <cell r="E34">
            <v>617765</v>
          </cell>
          <cell r="F34">
            <v>607693</v>
          </cell>
          <cell r="G34">
            <v>606098</v>
          </cell>
          <cell r="H34">
            <v>521152</v>
          </cell>
          <cell r="I34">
            <v>496365</v>
          </cell>
          <cell r="J34">
            <v>372576</v>
          </cell>
        </row>
        <row r="61">
          <cell r="H61">
            <v>52493</v>
          </cell>
          <cell r="I61">
            <v>36487</v>
          </cell>
          <cell r="J61">
            <v>101306</v>
          </cell>
        </row>
        <row r="75">
          <cell r="E75">
            <v>808267</v>
          </cell>
          <cell r="F75">
            <v>796922</v>
          </cell>
          <cell r="G75">
            <v>780341</v>
          </cell>
          <cell r="H75">
            <v>736021</v>
          </cell>
          <cell r="I75">
            <v>430675</v>
          </cell>
          <cell r="J75">
            <v>334436</v>
          </cell>
        </row>
      </sheetData>
      <sheetData sheetId="2">
        <row r="33">
          <cell r="Q33">
            <v>353503410.45469022</v>
          </cell>
        </row>
        <row r="39">
          <cell r="Q39">
            <v>22250000</v>
          </cell>
        </row>
        <row r="40">
          <cell r="Q40">
            <v>4272777.25</v>
          </cell>
        </row>
        <row r="41">
          <cell r="Q41">
            <v>185489.37</v>
          </cell>
        </row>
        <row r="42">
          <cell r="Q42">
            <v>11036977.5</v>
          </cell>
        </row>
        <row r="43">
          <cell r="Q43">
            <v>472462</v>
          </cell>
        </row>
        <row r="44">
          <cell r="Q44">
            <v>3478146.8000000003</v>
          </cell>
        </row>
        <row r="45">
          <cell r="Q45">
            <v>91089.5</v>
          </cell>
        </row>
        <row r="46">
          <cell r="Q46">
            <v>5358880</v>
          </cell>
        </row>
        <row r="47">
          <cell r="Q47">
            <v>300000</v>
          </cell>
        </row>
        <row r="48">
          <cell r="Q48">
            <v>1615010</v>
          </cell>
        </row>
        <row r="49">
          <cell r="Q49">
            <v>295369</v>
          </cell>
        </row>
        <row r="50">
          <cell r="Q50">
            <v>20227706.200000003</v>
          </cell>
        </row>
        <row r="51">
          <cell r="Q51">
            <v>802226.5</v>
          </cell>
        </row>
        <row r="52">
          <cell r="Q52">
            <v>3541279.7</v>
          </cell>
        </row>
        <row r="53">
          <cell r="Q53">
            <v>969242</v>
          </cell>
        </row>
        <row r="54">
          <cell r="Q54">
            <v>4576833</v>
          </cell>
        </row>
        <row r="55">
          <cell r="Q55">
            <v>451000</v>
          </cell>
        </row>
        <row r="56">
          <cell r="Q56">
            <v>46023.5</v>
          </cell>
        </row>
        <row r="57">
          <cell r="Q57">
            <v>0</v>
          </cell>
        </row>
        <row r="58">
          <cell r="Q58">
            <v>3740373.5</v>
          </cell>
        </row>
        <row r="59">
          <cell r="Q59">
            <v>277778</v>
          </cell>
        </row>
        <row r="60">
          <cell r="Q60">
            <v>48930</v>
          </cell>
        </row>
        <row r="61">
          <cell r="Q61">
            <v>2214126.5</v>
          </cell>
        </row>
        <row r="62">
          <cell r="Q62">
            <v>182892.5</v>
          </cell>
        </row>
        <row r="63">
          <cell r="Q63">
            <v>2700</v>
          </cell>
        </row>
        <row r="64">
          <cell r="Q64">
            <v>33580.5</v>
          </cell>
        </row>
        <row r="65">
          <cell r="Q65">
            <v>19159.5</v>
          </cell>
        </row>
        <row r="66">
          <cell r="Q66">
            <v>71532.5</v>
          </cell>
        </row>
        <row r="67">
          <cell r="Q67">
            <v>729404.5</v>
          </cell>
        </row>
        <row r="68">
          <cell r="Q68">
            <v>13750</v>
          </cell>
        </row>
        <row r="69">
          <cell r="Q69">
            <v>9200.5</v>
          </cell>
        </row>
        <row r="70">
          <cell r="Q70">
            <v>1528643</v>
          </cell>
        </row>
        <row r="71">
          <cell r="Q71">
            <v>132420</v>
          </cell>
        </row>
        <row r="72">
          <cell r="Q72">
            <v>500119.5</v>
          </cell>
        </row>
        <row r="73">
          <cell r="Q73">
            <v>49220</v>
          </cell>
        </row>
        <row r="74">
          <cell r="Q74">
            <v>367940</v>
          </cell>
        </row>
        <row r="75">
          <cell r="Q75">
            <v>11067</v>
          </cell>
        </row>
        <row r="76">
          <cell r="Q76">
            <v>1236893.5</v>
          </cell>
        </row>
      </sheetData>
      <sheetData sheetId="3">
        <row r="30">
          <cell r="S30">
            <v>31588784.130490597</v>
          </cell>
        </row>
        <row r="31">
          <cell r="S31">
            <v>0</v>
          </cell>
        </row>
        <row r="32">
          <cell r="S32" t="str">
            <v>Total</v>
          </cell>
        </row>
        <row r="33">
          <cell r="S33">
            <v>5250000</v>
          </cell>
        </row>
        <row r="34">
          <cell r="S34">
            <v>3899274.25</v>
          </cell>
        </row>
        <row r="35">
          <cell r="S35">
            <v>100377.37000000001</v>
          </cell>
        </row>
        <row r="36">
          <cell r="S36">
            <v>6033482</v>
          </cell>
        </row>
        <row r="37">
          <cell r="S37">
            <v>363965</v>
          </cell>
        </row>
        <row r="38">
          <cell r="S38">
            <v>703681.20000000007</v>
          </cell>
        </row>
        <row r="39">
          <cell r="S39">
            <v>40375.5</v>
          </cell>
        </row>
        <row r="40">
          <cell r="S40">
            <v>0</v>
          </cell>
        </row>
        <row r="41">
          <cell r="S41">
            <v>300000</v>
          </cell>
        </row>
        <row r="42">
          <cell r="S42">
            <v>349290</v>
          </cell>
        </row>
        <row r="43">
          <cell r="S43">
            <v>206304</v>
          </cell>
        </row>
        <row r="44">
          <cell r="S44">
            <v>7297300.7999999998</v>
          </cell>
        </row>
        <row r="45">
          <cell r="S45">
            <v>569578.5</v>
          </cell>
        </row>
        <row r="46">
          <cell r="S46">
            <v>2496001.2999999998</v>
          </cell>
        </row>
        <row r="47">
          <cell r="S47">
            <v>618543</v>
          </cell>
        </row>
        <row r="48">
          <cell r="S48">
            <v>3407365</v>
          </cell>
        </row>
        <row r="49">
          <cell r="S49">
            <v>287000</v>
          </cell>
        </row>
        <row r="50">
          <cell r="S50">
            <v>46023.5</v>
          </cell>
        </row>
        <row r="51">
          <cell r="S51">
            <v>175560</v>
          </cell>
        </row>
        <row r="52">
          <cell r="S52">
            <v>3323707.5</v>
          </cell>
        </row>
        <row r="53">
          <cell r="S53">
            <v>0</v>
          </cell>
        </row>
        <row r="54">
          <cell r="S54">
            <v>30170</v>
          </cell>
        </row>
        <row r="55">
          <cell r="S55">
            <v>1160522.5</v>
          </cell>
        </row>
        <row r="56">
          <cell r="S56">
            <v>10390.5</v>
          </cell>
        </row>
        <row r="57">
          <cell r="S57">
            <v>0</v>
          </cell>
        </row>
        <row r="58">
          <cell r="S58">
            <v>23130.5</v>
          </cell>
        </row>
        <row r="59">
          <cell r="S59">
            <v>19159.5</v>
          </cell>
        </row>
        <row r="60">
          <cell r="S60">
            <v>71532.5</v>
          </cell>
        </row>
        <row r="61">
          <cell r="S61">
            <v>729404.5</v>
          </cell>
        </row>
        <row r="62">
          <cell r="S62">
            <v>13750</v>
          </cell>
        </row>
        <row r="63">
          <cell r="S63">
            <v>9200.5</v>
          </cell>
        </row>
        <row r="64">
          <cell r="S64">
            <v>84165</v>
          </cell>
        </row>
        <row r="65">
          <cell r="S65">
            <v>81412</v>
          </cell>
        </row>
        <row r="66">
          <cell r="S66">
            <v>317512.5</v>
          </cell>
        </row>
        <row r="67">
          <cell r="S67">
            <v>5990</v>
          </cell>
        </row>
        <row r="68">
          <cell r="S68">
            <v>221600</v>
          </cell>
        </row>
        <row r="69">
          <cell r="S69">
            <v>0</v>
          </cell>
        </row>
        <row r="70">
          <cell r="S70">
            <v>772078.5</v>
          </cell>
        </row>
      </sheetData>
      <sheetData sheetId="4"/>
      <sheetData sheetId="5"/>
      <sheetData sheetId="6"/>
      <sheetData sheetId="7"/>
      <sheetData sheetId="8">
        <row r="8">
          <cell r="S8">
            <v>372576</v>
          </cell>
        </row>
        <row r="36">
          <cell r="S36">
            <v>101306</v>
          </cell>
        </row>
        <row r="45">
          <cell r="S45">
            <v>334436</v>
          </cell>
        </row>
        <row r="190">
          <cell r="U190">
            <v>814129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 Reporte Area Reprod"/>
      <sheetName val="Datos"/>
      <sheetName val="Reporte Area Reproductiva"/>
      <sheetName val="Costeo Polcura"/>
      <sheetName val="Inversiones"/>
      <sheetName val="Mano de Obra Acum"/>
      <sheetName val="Reporte AN"/>
      <sheetName val="Reporte Gerencial"/>
      <sheetName val="Reporte Area Engorde"/>
      <sheetName val="Reporte Area Engorde (2)"/>
      <sheetName val="Costo dia de traslado"/>
      <sheetName val="Produccion"/>
      <sheetName val="Tabla Dinamica"/>
      <sheetName val="Hoja4"/>
      <sheetName val="Reporte Area Engorde 2"/>
    </sheetNames>
    <sheetDataSet>
      <sheetData sheetId="0"/>
      <sheetData sheetId="1">
        <row r="15">
          <cell r="B15">
            <v>0.3</v>
          </cell>
          <cell r="C15">
            <v>0.7</v>
          </cell>
        </row>
        <row r="43">
          <cell r="B43">
            <v>0.2</v>
          </cell>
        </row>
        <row r="52">
          <cell r="B52">
            <v>0.3</v>
          </cell>
          <cell r="C52">
            <v>0.7</v>
          </cell>
        </row>
      </sheetData>
      <sheetData sheetId="2">
        <row r="26">
          <cell r="G26">
            <v>804552.16666666663</v>
          </cell>
        </row>
      </sheetData>
      <sheetData sheetId="3">
        <row r="91">
          <cell r="M91">
            <v>4464139.5</v>
          </cell>
        </row>
      </sheetData>
      <sheetData sheetId="4"/>
      <sheetData sheetId="5">
        <row r="3">
          <cell r="B3">
            <v>2861285</v>
          </cell>
        </row>
        <row r="4">
          <cell r="B4">
            <v>4087305</v>
          </cell>
        </row>
        <row r="8">
          <cell r="B8">
            <v>4143877</v>
          </cell>
        </row>
        <row r="12">
          <cell r="B12">
            <v>3135193</v>
          </cell>
        </row>
        <row r="17">
          <cell r="B17">
            <v>3135193</v>
          </cell>
        </row>
        <row r="22">
          <cell r="B22">
            <v>3266469</v>
          </cell>
        </row>
        <row r="27">
          <cell r="B27">
            <v>3135193</v>
          </cell>
        </row>
        <row r="32">
          <cell r="B32">
            <v>3846591</v>
          </cell>
        </row>
        <row r="38">
          <cell r="B38">
            <v>1775809</v>
          </cell>
        </row>
      </sheetData>
      <sheetData sheetId="6">
        <row r="17">
          <cell r="E17">
            <v>958515</v>
          </cell>
        </row>
      </sheetData>
      <sheetData sheetId="7"/>
      <sheetData sheetId="8"/>
      <sheetData sheetId="9"/>
      <sheetData sheetId="10"/>
      <sheetData sheetId="11">
        <row r="8">
          <cell r="O8">
            <v>521152</v>
          </cell>
          <cell r="Q8">
            <v>496365</v>
          </cell>
        </row>
        <row r="35">
          <cell r="O35">
            <v>52493</v>
          </cell>
        </row>
        <row r="44">
          <cell r="Q44">
            <v>430675</v>
          </cell>
        </row>
      </sheetData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2:W95"/>
  <sheetViews>
    <sheetView showGridLines="0" zoomScale="85" zoomScaleNormal="85" workbookViewId="0">
      <selection activeCell="A22" sqref="A22"/>
    </sheetView>
  </sheetViews>
  <sheetFormatPr baseColWidth="10" defaultColWidth="11.42578125" defaultRowHeight="15" x14ac:dyDescent="0.25"/>
  <cols>
    <col min="1" max="1" width="37.42578125" bestFit="1" customWidth="1"/>
    <col min="2" max="2" width="18.5703125" customWidth="1"/>
    <col min="3" max="3" width="20.7109375" customWidth="1"/>
    <col min="4" max="5" width="11.42578125" customWidth="1"/>
    <col min="6" max="7" width="15.7109375" customWidth="1"/>
    <col min="11" max="11" width="11.42578125" customWidth="1"/>
    <col min="13" max="13" width="24" customWidth="1"/>
    <col min="14" max="16" width="11.42578125" customWidth="1"/>
  </cols>
  <sheetData>
    <row r="2" spans="1:3" ht="15.75" thickBot="1" x14ac:dyDescent="0.3"/>
    <row r="3" spans="1:3" x14ac:dyDescent="0.25">
      <c r="A3" s="22" t="s">
        <v>33</v>
      </c>
      <c r="B3" s="23" t="s">
        <v>38</v>
      </c>
      <c r="C3" s="24" t="s">
        <v>39</v>
      </c>
    </row>
    <row r="4" spans="1:3" x14ac:dyDescent="0.25">
      <c r="A4" s="25" t="s">
        <v>31</v>
      </c>
      <c r="B4" t="str">
        <f>+[1]Codificacion!B7</f>
        <v>AQSCH17T</v>
      </c>
      <c r="C4" s="18" t="str">
        <f>+[1]Codificacion!B5</f>
        <v>Reproductores</v>
      </c>
    </row>
    <row r="5" spans="1:3" x14ac:dyDescent="0.25">
      <c r="A5" s="25" t="s">
        <v>31</v>
      </c>
      <c r="B5" t="str">
        <f>+[1]Codificacion!B14</f>
        <v>AQSCH20T-F1-OV</v>
      </c>
      <c r="C5" s="18" t="s">
        <v>40</v>
      </c>
    </row>
    <row r="6" spans="1:3" x14ac:dyDescent="0.25">
      <c r="A6" s="25" t="s">
        <v>31</v>
      </c>
      <c r="B6" t="str">
        <f>+[1]Codificacion!B24</f>
        <v>AQSCH20TF1-OO</v>
      </c>
      <c r="C6" s="18" t="s">
        <v>41</v>
      </c>
    </row>
    <row r="7" spans="1:3" x14ac:dyDescent="0.25">
      <c r="A7" s="25" t="s">
        <v>31</v>
      </c>
      <c r="B7" t="str">
        <f>+[1]Codificacion!B34</f>
        <v>AQSCH20-F1-AFF</v>
      </c>
      <c r="C7" s="18" t="s">
        <v>42</v>
      </c>
    </row>
    <row r="8" spans="1:3" x14ac:dyDescent="0.25">
      <c r="A8" s="25" t="s">
        <v>32</v>
      </c>
      <c r="B8" t="str">
        <f>+[1]Codificacion!B46</f>
        <v>AQSCH20T-F1-SM</v>
      </c>
      <c r="C8" s="18" t="s">
        <v>43</v>
      </c>
    </row>
    <row r="9" spans="1:3" ht="15.75" thickBot="1" x14ac:dyDescent="0.3">
      <c r="A9" s="26" t="s">
        <v>32</v>
      </c>
      <c r="B9" s="27" t="str">
        <f>+[1]Codificacion!B56</f>
        <v>AQSCH20T-F1-TE-SP</v>
      </c>
      <c r="C9" s="28" t="s">
        <v>44</v>
      </c>
    </row>
    <row r="11" spans="1:3" ht="15.75" thickBot="1" x14ac:dyDescent="0.3"/>
    <row r="12" spans="1:3" x14ac:dyDescent="0.25">
      <c r="A12" s="6" t="s">
        <v>27</v>
      </c>
      <c r="B12" s="7" t="s">
        <v>28</v>
      </c>
      <c r="C12" s="8"/>
    </row>
    <row r="13" spans="1:3" x14ac:dyDescent="0.25">
      <c r="A13" s="9" t="s">
        <v>29</v>
      </c>
      <c r="B13" s="10" t="s">
        <v>30</v>
      </c>
      <c r="C13" s="11"/>
    </row>
    <row r="14" spans="1:3" ht="36.75" customHeight="1" thickBot="1" x14ac:dyDescent="0.3">
      <c r="A14" s="12" t="s">
        <v>26</v>
      </c>
      <c r="B14" s="13" t="s">
        <v>31</v>
      </c>
      <c r="C14" s="14" t="s">
        <v>32</v>
      </c>
    </row>
    <row r="15" spans="1:3" x14ac:dyDescent="0.25">
      <c r="A15" s="15">
        <v>1</v>
      </c>
      <c r="B15" s="16">
        <v>0.3</v>
      </c>
      <c r="C15" s="17">
        <v>0.7</v>
      </c>
    </row>
    <row r="16" spans="1:3" x14ac:dyDescent="0.25">
      <c r="A16" s="15">
        <v>2</v>
      </c>
      <c r="B16" t="s">
        <v>33</v>
      </c>
      <c r="C16" s="18" t="s">
        <v>33</v>
      </c>
    </row>
    <row r="17" spans="1:21" x14ac:dyDescent="0.25">
      <c r="A17" s="15">
        <v>3</v>
      </c>
      <c r="B17" s="5">
        <v>0.25</v>
      </c>
      <c r="C17" s="19">
        <v>0.75</v>
      </c>
    </row>
    <row r="18" spans="1:21" x14ac:dyDescent="0.25">
      <c r="A18" s="15">
        <v>4</v>
      </c>
      <c r="B18" s="5">
        <v>0.3</v>
      </c>
      <c r="C18" s="19">
        <v>0.7</v>
      </c>
    </row>
    <row r="19" spans="1:21" x14ac:dyDescent="0.25">
      <c r="A19" s="15">
        <v>5</v>
      </c>
      <c r="B19" s="5">
        <v>0.5</v>
      </c>
      <c r="C19" s="19">
        <v>0.5</v>
      </c>
    </row>
    <row r="20" spans="1:21" ht="15.75" thickBot="1" x14ac:dyDescent="0.3">
      <c r="A20" s="15">
        <v>6</v>
      </c>
      <c r="B20" s="5">
        <v>0.5</v>
      </c>
      <c r="C20" s="19">
        <v>0.5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</row>
    <row r="21" spans="1:21" x14ac:dyDescent="0.25">
      <c r="A21" s="15">
        <v>7</v>
      </c>
      <c r="B21" s="5">
        <v>0.5</v>
      </c>
      <c r="C21" s="19">
        <v>0.5</v>
      </c>
      <c r="F21" s="135" t="s">
        <v>45</v>
      </c>
      <c r="G21" s="136"/>
      <c r="H21" s="136"/>
      <c r="I21" s="29" t="s">
        <v>1</v>
      </c>
      <c r="J21" s="29" t="s">
        <v>2</v>
      </c>
      <c r="K21" s="29" t="s">
        <v>3</v>
      </c>
      <c r="L21" s="29" t="s">
        <v>4</v>
      </c>
      <c r="M21" s="29" t="s">
        <v>5</v>
      </c>
      <c r="N21" s="29" t="s">
        <v>6</v>
      </c>
      <c r="O21" s="29" t="s">
        <v>7</v>
      </c>
      <c r="P21" s="29" t="s">
        <v>8</v>
      </c>
      <c r="Q21" s="29" t="s">
        <v>9</v>
      </c>
      <c r="R21" s="29" t="s">
        <v>25</v>
      </c>
      <c r="S21" s="29" t="s">
        <v>24</v>
      </c>
      <c r="T21" s="30" t="s">
        <v>0</v>
      </c>
      <c r="U21" s="25"/>
    </row>
    <row r="22" spans="1:21" x14ac:dyDescent="0.25">
      <c r="A22" s="15">
        <v>8</v>
      </c>
      <c r="B22" s="5">
        <v>0.3</v>
      </c>
      <c r="C22" s="19">
        <v>0.7</v>
      </c>
      <c r="F22" s="25">
        <v>1</v>
      </c>
      <c r="I22" s="31">
        <v>1</v>
      </c>
      <c r="J22" s="31">
        <v>1</v>
      </c>
      <c r="K22" s="31">
        <v>1</v>
      </c>
      <c r="L22" s="31">
        <v>1</v>
      </c>
      <c r="M22" s="32">
        <v>1</v>
      </c>
      <c r="N22" s="31">
        <v>1</v>
      </c>
      <c r="O22" s="31">
        <v>1</v>
      </c>
      <c r="P22" s="31">
        <v>1</v>
      </c>
      <c r="Q22" s="31">
        <v>1</v>
      </c>
      <c r="R22" s="31">
        <v>1</v>
      </c>
      <c r="S22" s="31">
        <v>1</v>
      </c>
      <c r="T22" s="33">
        <v>1</v>
      </c>
      <c r="U22" s="25"/>
    </row>
    <row r="23" spans="1:21" x14ac:dyDescent="0.25">
      <c r="A23" s="15">
        <v>9</v>
      </c>
      <c r="B23" s="5">
        <v>0.5</v>
      </c>
      <c r="C23" s="19">
        <v>0.5</v>
      </c>
      <c r="F23" s="25">
        <v>2</v>
      </c>
      <c r="I23" s="31">
        <v>1</v>
      </c>
      <c r="J23" s="31">
        <v>1</v>
      </c>
      <c r="K23" s="31">
        <v>1</v>
      </c>
      <c r="L23" s="31">
        <v>1</v>
      </c>
      <c r="M23" s="31">
        <v>1</v>
      </c>
      <c r="N23" s="31">
        <v>1</v>
      </c>
      <c r="O23" s="31">
        <v>1</v>
      </c>
      <c r="P23" s="31">
        <v>1</v>
      </c>
      <c r="Q23" s="31">
        <v>1</v>
      </c>
      <c r="R23" s="31">
        <v>1</v>
      </c>
      <c r="S23" s="31">
        <v>1</v>
      </c>
      <c r="T23" s="33">
        <v>1</v>
      </c>
      <c r="U23" s="25"/>
    </row>
    <row r="24" spans="1:21" x14ac:dyDescent="0.25">
      <c r="A24" s="15">
        <v>10</v>
      </c>
      <c r="B24" s="5">
        <v>0.5</v>
      </c>
      <c r="C24" s="19">
        <v>0.5</v>
      </c>
      <c r="F24" s="25">
        <v>3</v>
      </c>
      <c r="I24" s="31">
        <v>1</v>
      </c>
      <c r="J24" s="31">
        <v>1</v>
      </c>
      <c r="K24" s="31">
        <v>1</v>
      </c>
      <c r="L24" s="31">
        <v>1</v>
      </c>
      <c r="M24" s="31">
        <v>1</v>
      </c>
      <c r="N24" s="31">
        <v>1</v>
      </c>
      <c r="O24" s="31">
        <v>1</v>
      </c>
      <c r="P24" s="31">
        <v>1</v>
      </c>
      <c r="Q24" s="31">
        <v>1</v>
      </c>
      <c r="R24" s="31">
        <v>1</v>
      </c>
      <c r="S24" s="31">
        <v>1</v>
      </c>
      <c r="T24" s="33">
        <v>1</v>
      </c>
      <c r="U24" s="25"/>
    </row>
    <row r="25" spans="1:21" x14ac:dyDescent="0.25">
      <c r="A25" s="15">
        <v>11</v>
      </c>
      <c r="B25" s="5">
        <v>0.5</v>
      </c>
      <c r="C25" s="19">
        <v>0.5</v>
      </c>
      <c r="F25" s="25">
        <v>4</v>
      </c>
      <c r="I25" s="31">
        <v>1</v>
      </c>
      <c r="J25" s="31">
        <v>1</v>
      </c>
      <c r="K25" s="31">
        <v>1</v>
      </c>
      <c r="L25" s="31">
        <v>1</v>
      </c>
      <c r="M25" s="31">
        <v>1</v>
      </c>
      <c r="N25" s="31">
        <v>1</v>
      </c>
      <c r="O25" s="31">
        <v>1</v>
      </c>
      <c r="P25" s="31">
        <v>1</v>
      </c>
      <c r="Q25" s="31">
        <v>1</v>
      </c>
      <c r="R25" s="31">
        <v>1</v>
      </c>
      <c r="S25" s="31">
        <v>1</v>
      </c>
      <c r="T25" s="33">
        <v>1</v>
      </c>
      <c r="U25" s="25"/>
    </row>
    <row r="26" spans="1:21" x14ac:dyDescent="0.25">
      <c r="A26" s="15">
        <v>12</v>
      </c>
      <c r="B26" s="5">
        <v>0.5</v>
      </c>
      <c r="C26" s="19">
        <v>0.5</v>
      </c>
      <c r="F26" s="25">
        <v>5</v>
      </c>
      <c r="I26" s="31">
        <v>1</v>
      </c>
      <c r="J26" s="31">
        <v>1</v>
      </c>
      <c r="K26" s="31">
        <v>1</v>
      </c>
      <c r="L26" s="31">
        <v>1</v>
      </c>
      <c r="M26" s="31">
        <v>1</v>
      </c>
      <c r="N26" s="31">
        <v>1</v>
      </c>
      <c r="O26" s="31">
        <v>1</v>
      </c>
      <c r="P26" s="31">
        <v>1</v>
      </c>
      <c r="Q26" s="31">
        <v>1</v>
      </c>
      <c r="R26" s="31">
        <v>1</v>
      </c>
      <c r="S26" s="31">
        <v>1</v>
      </c>
      <c r="T26" s="33">
        <v>1</v>
      </c>
      <c r="U26" s="25"/>
    </row>
    <row r="27" spans="1:21" x14ac:dyDescent="0.25">
      <c r="A27" s="15">
        <v>13</v>
      </c>
      <c r="C27" s="18"/>
      <c r="F27" s="25">
        <v>6</v>
      </c>
      <c r="I27" s="31">
        <v>1</v>
      </c>
      <c r="J27" s="31">
        <v>1</v>
      </c>
      <c r="K27" s="31">
        <v>1</v>
      </c>
      <c r="L27" s="31">
        <v>1</v>
      </c>
      <c r="M27" s="31">
        <v>1</v>
      </c>
      <c r="N27" s="31">
        <v>1</v>
      </c>
      <c r="O27" s="31">
        <v>1</v>
      </c>
      <c r="P27" s="31">
        <v>1</v>
      </c>
      <c r="Q27" s="31">
        <v>1</v>
      </c>
      <c r="R27" s="31">
        <v>1</v>
      </c>
      <c r="S27" s="31">
        <v>1</v>
      </c>
      <c r="T27" s="33">
        <v>1</v>
      </c>
      <c r="U27" s="25"/>
    </row>
    <row r="28" spans="1:21" x14ac:dyDescent="0.25">
      <c r="A28" s="15">
        <v>14</v>
      </c>
      <c r="C28" s="18"/>
      <c r="F28" s="25">
        <v>7</v>
      </c>
      <c r="I28" s="31">
        <v>1</v>
      </c>
      <c r="J28" s="31">
        <v>1</v>
      </c>
      <c r="K28" s="31">
        <v>1</v>
      </c>
      <c r="L28" s="31">
        <v>1</v>
      </c>
      <c r="M28" s="31">
        <v>1</v>
      </c>
      <c r="N28" s="31">
        <v>1</v>
      </c>
      <c r="O28" s="31">
        <v>1</v>
      </c>
      <c r="P28" s="31">
        <v>1</v>
      </c>
      <c r="Q28" s="31">
        <v>1</v>
      </c>
      <c r="R28" s="31">
        <v>1</v>
      </c>
      <c r="S28" s="31">
        <v>1</v>
      </c>
      <c r="T28" s="33">
        <v>1</v>
      </c>
      <c r="U28" s="25"/>
    </row>
    <row r="29" spans="1:21" x14ac:dyDescent="0.25">
      <c r="A29" s="15">
        <v>15</v>
      </c>
      <c r="B29" s="5">
        <v>0.5</v>
      </c>
      <c r="C29" s="19">
        <v>0.5</v>
      </c>
      <c r="F29" s="25">
        <v>8</v>
      </c>
      <c r="I29" s="31">
        <v>1</v>
      </c>
      <c r="J29" s="31">
        <v>1</v>
      </c>
      <c r="K29" s="31">
        <v>1</v>
      </c>
      <c r="L29" s="31">
        <v>1</v>
      </c>
      <c r="M29" s="31">
        <v>1</v>
      </c>
      <c r="N29" s="31">
        <v>1</v>
      </c>
      <c r="O29" s="31">
        <v>1</v>
      </c>
      <c r="P29" s="31">
        <v>1</v>
      </c>
      <c r="Q29" s="31">
        <v>1</v>
      </c>
      <c r="R29" s="31">
        <v>1</v>
      </c>
      <c r="S29" s="31">
        <v>1</v>
      </c>
      <c r="T29" s="33">
        <v>1</v>
      </c>
      <c r="U29" s="25"/>
    </row>
    <row r="30" spans="1:21" x14ac:dyDescent="0.25">
      <c r="A30" s="15">
        <v>16</v>
      </c>
      <c r="B30" s="5">
        <v>0.5</v>
      </c>
      <c r="C30" s="19">
        <v>0.5</v>
      </c>
      <c r="F30" s="25">
        <v>9</v>
      </c>
      <c r="I30" s="31">
        <v>1</v>
      </c>
      <c r="J30" s="31">
        <v>1</v>
      </c>
      <c r="K30" s="31">
        <v>1</v>
      </c>
      <c r="L30" s="31">
        <v>1</v>
      </c>
      <c r="M30" s="31">
        <v>1</v>
      </c>
      <c r="N30" s="31">
        <v>1</v>
      </c>
      <c r="O30" s="31">
        <v>1</v>
      </c>
      <c r="P30" s="31">
        <v>1</v>
      </c>
      <c r="Q30" s="31">
        <v>1</v>
      </c>
      <c r="R30" s="31">
        <v>1</v>
      </c>
      <c r="S30" s="31">
        <v>1</v>
      </c>
      <c r="T30" s="33">
        <v>1</v>
      </c>
      <c r="U30" s="25"/>
    </row>
    <row r="31" spans="1:21" x14ac:dyDescent="0.25">
      <c r="A31" s="15">
        <v>17</v>
      </c>
      <c r="B31" s="5">
        <v>0.5</v>
      </c>
      <c r="C31" s="19">
        <v>0.5</v>
      </c>
      <c r="F31" s="25">
        <v>10</v>
      </c>
      <c r="I31" s="31">
        <v>1</v>
      </c>
      <c r="J31" s="31">
        <v>1</v>
      </c>
      <c r="K31" s="31">
        <v>1</v>
      </c>
      <c r="L31" s="31">
        <v>1</v>
      </c>
      <c r="M31" s="31">
        <v>1</v>
      </c>
      <c r="N31" s="31">
        <v>1</v>
      </c>
      <c r="O31" s="31">
        <v>1</v>
      </c>
      <c r="P31" s="31">
        <v>1</v>
      </c>
      <c r="Q31" s="31">
        <v>1</v>
      </c>
      <c r="R31" s="31">
        <v>1</v>
      </c>
      <c r="S31" s="31">
        <v>1</v>
      </c>
      <c r="T31" s="33">
        <v>1</v>
      </c>
      <c r="U31" s="25"/>
    </row>
    <row r="32" spans="1:21" x14ac:dyDescent="0.25">
      <c r="A32" s="15">
        <v>18</v>
      </c>
      <c r="B32" s="5">
        <v>0.5</v>
      </c>
      <c r="C32" s="19">
        <v>0.5</v>
      </c>
      <c r="F32" s="25">
        <v>11</v>
      </c>
      <c r="I32" s="31">
        <v>1</v>
      </c>
      <c r="J32" s="31">
        <v>1</v>
      </c>
      <c r="K32" s="31">
        <v>1</v>
      </c>
      <c r="L32" s="31">
        <v>1</v>
      </c>
      <c r="M32" s="31">
        <v>1</v>
      </c>
      <c r="N32" s="31">
        <v>1</v>
      </c>
      <c r="O32" s="31">
        <v>1</v>
      </c>
      <c r="P32" s="31">
        <v>1</v>
      </c>
      <c r="Q32" s="31">
        <v>1</v>
      </c>
      <c r="R32" s="31">
        <v>1</v>
      </c>
      <c r="S32" s="31">
        <v>1</v>
      </c>
      <c r="T32" s="33">
        <v>1</v>
      </c>
      <c r="U32" s="25"/>
    </row>
    <row r="33" spans="1:21" x14ac:dyDescent="0.25">
      <c r="A33" s="15">
        <v>19</v>
      </c>
      <c r="B33" s="5">
        <v>0</v>
      </c>
      <c r="C33" s="19">
        <v>0</v>
      </c>
      <c r="F33" s="25">
        <v>12</v>
      </c>
      <c r="I33" s="31">
        <v>1</v>
      </c>
      <c r="J33" s="31">
        <v>1</v>
      </c>
      <c r="K33" s="31">
        <v>1</v>
      </c>
      <c r="L33" s="31">
        <v>1</v>
      </c>
      <c r="M33" s="31">
        <v>1</v>
      </c>
      <c r="N33" s="31">
        <v>1</v>
      </c>
      <c r="O33" s="31">
        <v>1</v>
      </c>
      <c r="P33" s="31">
        <v>1</v>
      </c>
      <c r="Q33" s="31">
        <v>1</v>
      </c>
      <c r="R33" s="31">
        <v>1</v>
      </c>
      <c r="S33" s="31">
        <v>1</v>
      </c>
      <c r="T33" s="33">
        <v>1</v>
      </c>
      <c r="U33" s="25"/>
    </row>
    <row r="34" spans="1:21" x14ac:dyDescent="0.25">
      <c r="A34" s="15">
        <v>20</v>
      </c>
      <c r="B34" s="5">
        <v>0.5</v>
      </c>
      <c r="C34" s="19">
        <v>0.5</v>
      </c>
      <c r="F34" s="25">
        <v>13</v>
      </c>
      <c r="I34" s="31">
        <v>1</v>
      </c>
      <c r="J34" s="31">
        <v>1</v>
      </c>
      <c r="K34" s="31">
        <v>1</v>
      </c>
      <c r="L34" s="31">
        <v>1</v>
      </c>
      <c r="M34" s="31">
        <v>1</v>
      </c>
      <c r="N34" s="31">
        <v>1</v>
      </c>
      <c r="O34" s="31">
        <v>1</v>
      </c>
      <c r="P34" s="31">
        <v>1</v>
      </c>
      <c r="Q34" s="31">
        <v>1</v>
      </c>
      <c r="R34" s="31">
        <v>1</v>
      </c>
      <c r="S34" s="31">
        <v>1</v>
      </c>
      <c r="T34" s="33">
        <v>1</v>
      </c>
      <c r="U34" s="25"/>
    </row>
    <row r="35" spans="1:21" x14ac:dyDescent="0.25">
      <c r="A35" s="15">
        <v>21</v>
      </c>
      <c r="B35" s="5">
        <v>0.5</v>
      </c>
      <c r="C35" s="19">
        <v>0.5</v>
      </c>
      <c r="F35" s="25">
        <v>14</v>
      </c>
      <c r="I35" s="31">
        <v>1</v>
      </c>
      <c r="J35" s="31">
        <v>1</v>
      </c>
      <c r="K35" s="31">
        <v>1</v>
      </c>
      <c r="L35" s="31">
        <v>1</v>
      </c>
      <c r="M35" s="31">
        <v>1</v>
      </c>
      <c r="N35" s="31">
        <v>1</v>
      </c>
      <c r="O35" s="31">
        <v>1</v>
      </c>
      <c r="P35" s="31">
        <v>1</v>
      </c>
      <c r="Q35" s="31">
        <v>1</v>
      </c>
      <c r="R35" s="31">
        <v>1</v>
      </c>
      <c r="S35" s="31">
        <v>1</v>
      </c>
      <c r="T35" s="33">
        <v>1</v>
      </c>
      <c r="U35" s="25"/>
    </row>
    <row r="36" spans="1:21" x14ac:dyDescent="0.25">
      <c r="A36" s="15">
        <v>22</v>
      </c>
      <c r="B36" t="s">
        <v>34</v>
      </c>
      <c r="C36" s="18" t="s">
        <v>35</v>
      </c>
      <c r="F36" s="25">
        <v>15</v>
      </c>
      <c r="I36" s="31">
        <v>1</v>
      </c>
      <c r="J36" s="31">
        <v>1</v>
      </c>
      <c r="K36" s="31">
        <v>1</v>
      </c>
      <c r="L36" s="31">
        <v>1</v>
      </c>
      <c r="M36" s="31">
        <v>1</v>
      </c>
      <c r="N36" s="31">
        <v>1</v>
      </c>
      <c r="O36" s="31">
        <v>1</v>
      </c>
      <c r="P36" s="31">
        <v>1</v>
      </c>
      <c r="Q36" s="31">
        <v>1</v>
      </c>
      <c r="R36" s="31">
        <v>1</v>
      </c>
      <c r="S36" s="31">
        <v>1</v>
      </c>
      <c r="T36" s="33">
        <v>1</v>
      </c>
      <c r="U36" s="25"/>
    </row>
    <row r="37" spans="1:21" x14ac:dyDescent="0.25">
      <c r="A37" s="15">
        <v>23</v>
      </c>
      <c r="B37" t="s">
        <v>36</v>
      </c>
      <c r="C37" s="18" t="s">
        <v>36</v>
      </c>
      <c r="F37" s="25">
        <v>16</v>
      </c>
      <c r="I37" s="31">
        <v>1</v>
      </c>
      <c r="J37" s="31">
        <v>1</v>
      </c>
      <c r="K37" s="31">
        <v>1</v>
      </c>
      <c r="L37" s="31">
        <v>1</v>
      </c>
      <c r="M37" s="31">
        <v>1</v>
      </c>
      <c r="N37" s="31">
        <v>1</v>
      </c>
      <c r="O37" s="31">
        <v>1</v>
      </c>
      <c r="P37" s="31">
        <v>1</v>
      </c>
      <c r="Q37" s="31">
        <v>1</v>
      </c>
      <c r="R37" s="31">
        <v>1</v>
      </c>
      <c r="S37" s="31">
        <v>1</v>
      </c>
      <c r="T37" s="33">
        <v>1</v>
      </c>
      <c r="U37" s="25"/>
    </row>
    <row r="38" spans="1:21" x14ac:dyDescent="0.25">
      <c r="A38" s="15">
        <v>24</v>
      </c>
      <c r="B38" t="s">
        <v>37</v>
      </c>
      <c r="C38" s="18" t="s">
        <v>37</v>
      </c>
      <c r="F38" s="25">
        <v>17</v>
      </c>
      <c r="I38" s="31">
        <v>1</v>
      </c>
      <c r="J38" s="31">
        <v>1</v>
      </c>
      <c r="K38" s="31">
        <v>1</v>
      </c>
      <c r="L38" s="31">
        <v>1</v>
      </c>
      <c r="M38" s="31">
        <v>1</v>
      </c>
      <c r="N38" s="31">
        <v>1</v>
      </c>
      <c r="O38" s="31">
        <v>1</v>
      </c>
      <c r="P38" s="31">
        <v>1</v>
      </c>
      <c r="Q38" s="31">
        <v>1</v>
      </c>
      <c r="R38" s="31">
        <v>1</v>
      </c>
      <c r="S38" s="31">
        <v>1</v>
      </c>
      <c r="T38" s="33">
        <v>1</v>
      </c>
      <c r="U38" s="25"/>
    </row>
    <row r="39" spans="1:21" x14ac:dyDescent="0.25">
      <c r="A39" s="15">
        <v>25</v>
      </c>
      <c r="B39" s="5">
        <v>0.5</v>
      </c>
      <c r="C39" s="19">
        <v>0.5</v>
      </c>
      <c r="F39" s="25">
        <v>18</v>
      </c>
      <c r="I39" s="31">
        <v>1</v>
      </c>
      <c r="J39" s="31">
        <v>1</v>
      </c>
      <c r="K39" s="31">
        <v>1</v>
      </c>
      <c r="L39" s="31">
        <v>1</v>
      </c>
      <c r="M39" s="31">
        <v>1</v>
      </c>
      <c r="N39" s="31">
        <v>1</v>
      </c>
      <c r="O39" s="31">
        <v>1</v>
      </c>
      <c r="P39" s="31">
        <v>1</v>
      </c>
      <c r="Q39" s="31">
        <v>1</v>
      </c>
      <c r="R39" s="31">
        <v>1</v>
      </c>
      <c r="S39" s="31">
        <v>1</v>
      </c>
      <c r="T39" s="33">
        <v>1</v>
      </c>
      <c r="U39" s="25"/>
    </row>
    <row r="40" spans="1:21" x14ac:dyDescent="0.25">
      <c r="A40" s="15">
        <v>26</v>
      </c>
      <c r="B40" s="5">
        <v>0.5</v>
      </c>
      <c r="C40" s="19">
        <v>0.5</v>
      </c>
      <c r="F40" s="25">
        <v>19</v>
      </c>
      <c r="I40" s="31">
        <v>1</v>
      </c>
      <c r="J40" s="31">
        <v>1</v>
      </c>
      <c r="K40" s="31">
        <v>1</v>
      </c>
      <c r="L40" s="31">
        <v>1</v>
      </c>
      <c r="M40" s="31">
        <v>1</v>
      </c>
      <c r="N40" s="31">
        <v>1</v>
      </c>
      <c r="O40" s="31">
        <v>1</v>
      </c>
      <c r="P40" s="31">
        <v>1</v>
      </c>
      <c r="Q40" s="31">
        <v>1</v>
      </c>
      <c r="R40" s="31">
        <v>1</v>
      </c>
      <c r="S40" s="31">
        <v>1</v>
      </c>
      <c r="T40" s="33">
        <v>1</v>
      </c>
      <c r="U40" s="25"/>
    </row>
    <row r="41" spans="1:21" x14ac:dyDescent="0.25">
      <c r="A41" s="15">
        <v>27</v>
      </c>
      <c r="B41" s="5">
        <v>0.5</v>
      </c>
      <c r="C41" s="19">
        <v>0.5</v>
      </c>
      <c r="F41" s="25">
        <v>20</v>
      </c>
      <c r="I41" s="31">
        <v>1</v>
      </c>
      <c r="J41" s="31">
        <v>1</v>
      </c>
      <c r="K41" s="31">
        <v>1</v>
      </c>
      <c r="L41" s="31">
        <v>1</v>
      </c>
      <c r="M41" s="31">
        <v>1</v>
      </c>
      <c r="N41" s="31">
        <v>1</v>
      </c>
      <c r="O41" s="31">
        <v>1</v>
      </c>
      <c r="P41" s="31">
        <v>1</v>
      </c>
      <c r="Q41" s="31">
        <v>1</v>
      </c>
      <c r="R41" s="31">
        <v>1</v>
      </c>
      <c r="S41" s="31">
        <v>1</v>
      </c>
      <c r="T41" s="33">
        <v>1</v>
      </c>
      <c r="U41" s="25"/>
    </row>
    <row r="42" spans="1:21" x14ac:dyDescent="0.25">
      <c r="A42" s="15">
        <v>28</v>
      </c>
      <c r="B42" s="5">
        <v>0.5</v>
      </c>
      <c r="C42" s="19">
        <v>0.5</v>
      </c>
      <c r="F42" s="25">
        <v>21</v>
      </c>
      <c r="I42" s="31">
        <v>1</v>
      </c>
      <c r="J42" s="31">
        <v>1</v>
      </c>
      <c r="K42" s="31">
        <v>1</v>
      </c>
      <c r="L42" s="31">
        <v>1</v>
      </c>
      <c r="M42" s="31">
        <v>1</v>
      </c>
      <c r="N42" s="31">
        <v>1</v>
      </c>
      <c r="O42" s="31">
        <v>1</v>
      </c>
      <c r="P42" s="31">
        <v>1</v>
      </c>
      <c r="Q42" s="31">
        <v>1</v>
      </c>
      <c r="R42" s="31">
        <v>1</v>
      </c>
      <c r="S42" s="31">
        <v>1</v>
      </c>
      <c r="T42" s="33">
        <v>1</v>
      </c>
      <c r="U42" s="25"/>
    </row>
    <row r="43" spans="1:21" x14ac:dyDescent="0.25">
      <c r="A43" s="15">
        <v>29</v>
      </c>
      <c r="B43" s="5">
        <v>0.2</v>
      </c>
      <c r="C43" s="19">
        <v>0.8</v>
      </c>
      <c r="F43" s="25">
        <v>22</v>
      </c>
      <c r="I43" s="31">
        <v>1</v>
      </c>
      <c r="J43" s="31">
        <v>1</v>
      </c>
      <c r="K43" s="31">
        <v>1</v>
      </c>
      <c r="L43" s="31">
        <v>1</v>
      </c>
      <c r="M43" s="31">
        <v>1</v>
      </c>
      <c r="N43" s="31">
        <v>1</v>
      </c>
      <c r="O43" s="31">
        <v>1</v>
      </c>
      <c r="P43" s="31">
        <v>1</v>
      </c>
      <c r="Q43" s="31">
        <v>1</v>
      </c>
      <c r="R43" s="31">
        <v>1</v>
      </c>
      <c r="S43" s="31">
        <v>1</v>
      </c>
      <c r="T43" s="33">
        <v>1</v>
      </c>
      <c r="U43" s="25"/>
    </row>
    <row r="44" spans="1:21" x14ac:dyDescent="0.25">
      <c r="A44" s="15">
        <v>30</v>
      </c>
      <c r="B44" s="5">
        <v>0.5</v>
      </c>
      <c r="C44" s="19">
        <v>0.5</v>
      </c>
      <c r="F44" s="25">
        <v>23</v>
      </c>
      <c r="I44" s="31">
        <v>1</v>
      </c>
      <c r="J44" s="31">
        <v>1</v>
      </c>
      <c r="K44" s="31">
        <v>1</v>
      </c>
      <c r="L44" s="31">
        <v>1</v>
      </c>
      <c r="M44" s="31">
        <v>1</v>
      </c>
      <c r="N44" s="31">
        <v>1</v>
      </c>
      <c r="O44" s="31">
        <v>1</v>
      </c>
      <c r="P44" s="31">
        <v>1</v>
      </c>
      <c r="Q44" s="31">
        <v>1</v>
      </c>
      <c r="R44" s="31">
        <v>1</v>
      </c>
      <c r="S44" s="31">
        <v>1</v>
      </c>
      <c r="T44" s="33">
        <v>1</v>
      </c>
      <c r="U44" s="25"/>
    </row>
    <row r="45" spans="1:21" x14ac:dyDescent="0.25">
      <c r="A45" s="15">
        <v>31</v>
      </c>
      <c r="B45" s="5">
        <v>0.5</v>
      </c>
      <c r="C45" s="19">
        <v>0.5</v>
      </c>
      <c r="F45" s="25">
        <v>24</v>
      </c>
      <c r="I45" s="31">
        <v>1</v>
      </c>
      <c r="J45" s="31">
        <v>1</v>
      </c>
      <c r="K45" s="31">
        <v>1</v>
      </c>
      <c r="L45" s="31">
        <v>1</v>
      </c>
      <c r="M45" s="31">
        <v>1</v>
      </c>
      <c r="N45" s="31">
        <v>1</v>
      </c>
      <c r="O45" s="31">
        <v>1</v>
      </c>
      <c r="P45" s="31">
        <v>1</v>
      </c>
      <c r="Q45" s="31">
        <v>1</v>
      </c>
      <c r="R45" s="31">
        <v>1</v>
      </c>
      <c r="S45" s="31">
        <v>1</v>
      </c>
      <c r="T45" s="33">
        <v>1</v>
      </c>
      <c r="U45" s="25"/>
    </row>
    <row r="46" spans="1:21" x14ac:dyDescent="0.25">
      <c r="A46" s="15">
        <v>32</v>
      </c>
      <c r="B46" s="5">
        <v>0.5</v>
      </c>
      <c r="C46" s="19">
        <v>0.5</v>
      </c>
      <c r="F46" s="25">
        <v>25</v>
      </c>
      <c r="I46" s="31">
        <v>1</v>
      </c>
      <c r="J46" s="31">
        <v>1</v>
      </c>
      <c r="K46" s="31">
        <v>1</v>
      </c>
      <c r="L46" s="31">
        <v>1</v>
      </c>
      <c r="M46" s="31">
        <v>1</v>
      </c>
      <c r="N46" s="31">
        <v>1</v>
      </c>
      <c r="O46" s="31">
        <v>1</v>
      </c>
      <c r="P46" s="31">
        <v>1</v>
      </c>
      <c r="Q46" s="31">
        <v>1</v>
      </c>
      <c r="R46" s="31">
        <v>1</v>
      </c>
      <c r="S46" s="31">
        <v>1</v>
      </c>
      <c r="T46" s="33">
        <v>1</v>
      </c>
      <c r="U46" s="25"/>
    </row>
    <row r="47" spans="1:21" x14ac:dyDescent="0.25">
      <c r="A47" s="15">
        <v>33</v>
      </c>
      <c r="B47" s="5">
        <v>0.5</v>
      </c>
      <c r="C47" s="19">
        <v>0.5</v>
      </c>
      <c r="F47" s="25">
        <v>26</v>
      </c>
      <c r="I47" s="31">
        <v>1</v>
      </c>
      <c r="J47" s="31">
        <v>1</v>
      </c>
      <c r="K47" s="31">
        <v>1</v>
      </c>
      <c r="L47" s="31">
        <v>1</v>
      </c>
      <c r="M47" s="31">
        <v>1</v>
      </c>
      <c r="N47" s="31">
        <v>1</v>
      </c>
      <c r="O47" s="31">
        <v>1</v>
      </c>
      <c r="P47" s="31">
        <v>1</v>
      </c>
      <c r="Q47" s="31">
        <v>1</v>
      </c>
      <c r="R47" s="31">
        <v>1</v>
      </c>
      <c r="S47" s="31">
        <v>1</v>
      </c>
      <c r="T47" s="33">
        <v>1</v>
      </c>
      <c r="U47" s="25"/>
    </row>
    <row r="48" spans="1:21" x14ac:dyDescent="0.25">
      <c r="A48" s="15">
        <v>34</v>
      </c>
      <c r="B48" s="5">
        <v>0.5</v>
      </c>
      <c r="C48" s="19">
        <v>0.5</v>
      </c>
      <c r="F48" s="25">
        <v>27</v>
      </c>
      <c r="I48" s="31">
        <v>1</v>
      </c>
      <c r="J48" s="31">
        <v>1</v>
      </c>
      <c r="K48" s="31">
        <v>1</v>
      </c>
      <c r="L48" s="31">
        <v>1</v>
      </c>
      <c r="M48" s="31">
        <v>1</v>
      </c>
      <c r="N48" s="31">
        <v>1</v>
      </c>
      <c r="O48" s="31">
        <v>1</v>
      </c>
      <c r="P48" s="31">
        <v>1</v>
      </c>
      <c r="Q48" s="31">
        <v>1</v>
      </c>
      <c r="R48" s="31">
        <v>1</v>
      </c>
      <c r="S48" s="31">
        <v>1</v>
      </c>
      <c r="T48" s="33">
        <v>1</v>
      </c>
      <c r="U48" s="25"/>
    </row>
    <row r="49" spans="1:23" x14ac:dyDescent="0.25">
      <c r="A49" s="15">
        <v>35</v>
      </c>
      <c r="B49" s="5">
        <v>0.5</v>
      </c>
      <c r="C49" s="19">
        <v>0.5</v>
      </c>
      <c r="F49" s="25">
        <v>28</v>
      </c>
      <c r="I49" s="31">
        <v>1</v>
      </c>
      <c r="J49" s="31">
        <v>1</v>
      </c>
      <c r="K49" s="31">
        <v>1</v>
      </c>
      <c r="L49" s="31">
        <v>1</v>
      </c>
      <c r="M49" s="31">
        <v>1</v>
      </c>
      <c r="N49" s="31">
        <v>1</v>
      </c>
      <c r="O49" s="31">
        <v>1</v>
      </c>
      <c r="P49" s="31">
        <v>1</v>
      </c>
      <c r="Q49" s="31">
        <v>1</v>
      </c>
      <c r="R49" s="31">
        <v>1</v>
      </c>
      <c r="S49" s="31">
        <v>1</v>
      </c>
      <c r="T49" s="33">
        <v>1</v>
      </c>
      <c r="U49" s="25"/>
    </row>
    <row r="50" spans="1:23" x14ac:dyDescent="0.25">
      <c r="A50" s="15">
        <v>36</v>
      </c>
      <c r="B50" s="5">
        <v>0.5</v>
      </c>
      <c r="C50" s="19">
        <v>0.5</v>
      </c>
      <c r="F50" s="25">
        <v>29</v>
      </c>
      <c r="I50" s="31">
        <v>1</v>
      </c>
      <c r="J50" s="31">
        <v>1</v>
      </c>
      <c r="K50" s="31">
        <v>1</v>
      </c>
      <c r="L50" s="31">
        <v>1</v>
      </c>
      <c r="M50" s="31">
        <v>1</v>
      </c>
      <c r="N50" s="31">
        <v>1</v>
      </c>
      <c r="O50" s="31">
        <v>1</v>
      </c>
      <c r="P50" s="31">
        <v>1</v>
      </c>
      <c r="Q50" s="31">
        <v>1</v>
      </c>
      <c r="R50" s="31">
        <v>1</v>
      </c>
      <c r="S50" s="31">
        <v>1</v>
      </c>
      <c r="T50" s="33">
        <v>1</v>
      </c>
      <c r="U50" s="25"/>
    </row>
    <row r="51" spans="1:23" x14ac:dyDescent="0.25">
      <c r="A51" s="15">
        <v>37</v>
      </c>
      <c r="B51" s="5">
        <v>0.5</v>
      </c>
      <c r="C51" s="19">
        <v>0.5</v>
      </c>
      <c r="F51" s="25">
        <v>30</v>
      </c>
      <c r="I51" s="31">
        <v>1</v>
      </c>
      <c r="J51" s="31">
        <v>1</v>
      </c>
      <c r="K51" s="31">
        <v>1</v>
      </c>
      <c r="L51" s="31">
        <v>1</v>
      </c>
      <c r="M51" s="31">
        <v>1</v>
      </c>
      <c r="N51" s="31">
        <v>1</v>
      </c>
      <c r="O51" s="31">
        <v>1</v>
      </c>
      <c r="P51" s="31">
        <v>1</v>
      </c>
      <c r="Q51" s="31">
        <v>1</v>
      </c>
      <c r="R51" s="31">
        <v>1</v>
      </c>
      <c r="S51" s="31">
        <v>1</v>
      </c>
      <c r="T51" s="33">
        <v>1</v>
      </c>
      <c r="U51" s="25"/>
    </row>
    <row r="52" spans="1:23" x14ac:dyDescent="0.25">
      <c r="A52" s="15">
        <v>38</v>
      </c>
      <c r="B52" s="5">
        <v>0.3</v>
      </c>
      <c r="C52" s="19">
        <v>0.7</v>
      </c>
      <c r="F52" s="25">
        <v>31</v>
      </c>
      <c r="I52" s="31">
        <v>1</v>
      </c>
      <c r="J52" s="31">
        <v>1</v>
      </c>
      <c r="K52" s="31">
        <v>1</v>
      </c>
      <c r="L52" s="31">
        <v>1</v>
      </c>
      <c r="M52" s="31">
        <v>1</v>
      </c>
      <c r="N52" s="31">
        <v>1</v>
      </c>
      <c r="O52" s="31">
        <v>1</v>
      </c>
      <c r="P52" s="31">
        <v>1</v>
      </c>
      <c r="Q52" s="31">
        <v>1</v>
      </c>
      <c r="R52" s="31">
        <v>1</v>
      </c>
      <c r="S52" s="31">
        <v>1</v>
      </c>
      <c r="T52" s="33">
        <v>1</v>
      </c>
      <c r="U52" s="25"/>
    </row>
    <row r="53" spans="1:23" x14ac:dyDescent="0.25">
      <c r="A53" s="15">
        <v>39</v>
      </c>
      <c r="B53" s="5">
        <v>0.5</v>
      </c>
      <c r="C53" s="19">
        <v>0.5</v>
      </c>
      <c r="F53" s="25">
        <v>32</v>
      </c>
      <c r="I53" s="31">
        <v>1</v>
      </c>
      <c r="J53" s="31">
        <v>1</v>
      </c>
      <c r="K53" s="31">
        <v>1</v>
      </c>
      <c r="L53" s="31">
        <v>1</v>
      </c>
      <c r="M53" s="31">
        <v>1</v>
      </c>
      <c r="N53" s="31">
        <v>1</v>
      </c>
      <c r="O53" s="31">
        <v>1</v>
      </c>
      <c r="P53" s="31">
        <v>1</v>
      </c>
      <c r="Q53" s="31">
        <v>1</v>
      </c>
      <c r="R53" s="31">
        <v>1</v>
      </c>
      <c r="S53" s="31">
        <v>1</v>
      </c>
      <c r="T53" s="33">
        <v>1</v>
      </c>
      <c r="U53" s="25"/>
    </row>
    <row r="54" spans="1:23" x14ac:dyDescent="0.25">
      <c r="A54" s="15">
        <v>40</v>
      </c>
      <c r="B54" s="5">
        <v>0.5</v>
      </c>
      <c r="C54" s="19">
        <v>0.5</v>
      </c>
      <c r="F54" s="25">
        <v>33</v>
      </c>
      <c r="I54" s="31">
        <v>1</v>
      </c>
      <c r="J54" s="31">
        <v>1</v>
      </c>
      <c r="K54" s="31">
        <v>1</v>
      </c>
      <c r="L54" s="31">
        <v>1</v>
      </c>
      <c r="M54" s="31">
        <v>1</v>
      </c>
      <c r="N54" s="31">
        <v>1</v>
      </c>
      <c r="O54" s="31">
        <v>1</v>
      </c>
      <c r="P54" s="31">
        <v>1</v>
      </c>
      <c r="Q54" s="31">
        <v>1</v>
      </c>
      <c r="R54" s="31">
        <v>1</v>
      </c>
      <c r="S54" s="31">
        <v>1</v>
      </c>
      <c r="T54" s="33">
        <v>1</v>
      </c>
      <c r="U54" s="25"/>
    </row>
    <row r="55" spans="1:23" x14ac:dyDescent="0.25">
      <c r="A55" s="15">
        <v>41</v>
      </c>
      <c r="B55" s="5">
        <v>0.5</v>
      </c>
      <c r="C55" s="19">
        <v>0.5</v>
      </c>
      <c r="F55" s="25">
        <v>34</v>
      </c>
      <c r="I55" s="31">
        <v>1</v>
      </c>
      <c r="J55" s="31">
        <v>1</v>
      </c>
      <c r="K55" s="31">
        <v>1</v>
      </c>
      <c r="L55" s="31">
        <v>1</v>
      </c>
      <c r="M55" s="31">
        <v>1</v>
      </c>
      <c r="N55" s="31">
        <v>1</v>
      </c>
      <c r="O55" s="31">
        <v>1</v>
      </c>
      <c r="P55" s="31">
        <v>1</v>
      </c>
      <c r="Q55" s="31">
        <v>1</v>
      </c>
      <c r="R55" s="31">
        <v>1</v>
      </c>
      <c r="S55" s="31">
        <v>1</v>
      </c>
      <c r="T55" s="33">
        <v>1</v>
      </c>
      <c r="U55" s="25"/>
    </row>
    <row r="56" spans="1:23" x14ac:dyDescent="0.25">
      <c r="A56" s="15">
        <v>42</v>
      </c>
      <c r="B56" s="5">
        <v>0.5</v>
      </c>
      <c r="C56" s="19">
        <v>0.5</v>
      </c>
      <c r="F56" s="25">
        <v>35</v>
      </c>
      <c r="I56" s="31">
        <v>1</v>
      </c>
      <c r="J56" s="31">
        <v>1</v>
      </c>
      <c r="K56" s="31">
        <v>1</v>
      </c>
      <c r="L56" s="31">
        <v>1</v>
      </c>
      <c r="M56" s="31">
        <v>1</v>
      </c>
      <c r="N56" s="31">
        <v>1</v>
      </c>
      <c r="O56" s="31">
        <v>1</v>
      </c>
      <c r="P56" s="31">
        <v>1</v>
      </c>
      <c r="Q56" s="31">
        <v>1</v>
      </c>
      <c r="R56" s="31">
        <v>1</v>
      </c>
      <c r="S56" s="31">
        <v>1</v>
      </c>
      <c r="T56" s="33">
        <v>1</v>
      </c>
      <c r="U56" s="25"/>
    </row>
    <row r="57" spans="1:23" x14ac:dyDescent="0.25">
      <c r="A57" s="15">
        <v>43</v>
      </c>
      <c r="B57" s="5">
        <v>0.5</v>
      </c>
      <c r="C57" s="19">
        <v>0.5</v>
      </c>
      <c r="F57" s="25">
        <v>36</v>
      </c>
      <c r="I57" s="31">
        <v>1</v>
      </c>
      <c r="J57" s="31">
        <v>1</v>
      </c>
      <c r="K57" s="31">
        <v>1</v>
      </c>
      <c r="L57" s="31">
        <v>1</v>
      </c>
      <c r="M57" s="31">
        <v>1</v>
      </c>
      <c r="N57" s="31">
        <v>1</v>
      </c>
      <c r="O57" s="31">
        <v>1</v>
      </c>
      <c r="P57" s="31">
        <v>1</v>
      </c>
      <c r="Q57" s="31">
        <v>1</v>
      </c>
      <c r="R57" s="31">
        <v>1</v>
      </c>
      <c r="S57" s="31">
        <v>1</v>
      </c>
      <c r="T57" s="33">
        <v>1</v>
      </c>
      <c r="U57" s="25"/>
    </row>
    <row r="58" spans="1:23" x14ac:dyDescent="0.25">
      <c r="A58" s="15">
        <v>44</v>
      </c>
      <c r="B58" s="5">
        <v>0.5</v>
      </c>
      <c r="C58" s="19">
        <v>0.5</v>
      </c>
      <c r="F58" s="25">
        <v>37</v>
      </c>
      <c r="I58" s="31">
        <v>1</v>
      </c>
      <c r="J58" s="31">
        <v>1</v>
      </c>
      <c r="K58" s="31">
        <v>1</v>
      </c>
      <c r="L58" s="31">
        <v>1</v>
      </c>
      <c r="M58" s="31">
        <v>1</v>
      </c>
      <c r="N58" s="31">
        <v>1</v>
      </c>
      <c r="O58" s="31">
        <v>1</v>
      </c>
      <c r="P58" s="31">
        <v>1</v>
      </c>
      <c r="Q58" s="31">
        <v>1</v>
      </c>
      <c r="R58" s="31">
        <v>1</v>
      </c>
      <c r="S58" s="31">
        <v>1</v>
      </c>
      <c r="T58" s="33">
        <v>1</v>
      </c>
      <c r="U58" s="25"/>
    </row>
    <row r="59" spans="1:23" ht="15.75" thickBot="1" x14ac:dyDescent="0.3">
      <c r="A59" s="15">
        <v>45</v>
      </c>
      <c r="B59" s="5">
        <v>0.5</v>
      </c>
      <c r="C59" s="19">
        <v>0.5</v>
      </c>
      <c r="F59" s="25">
        <v>38</v>
      </c>
      <c r="G59" s="27"/>
      <c r="H59" s="27"/>
      <c r="I59" s="34">
        <v>1</v>
      </c>
      <c r="J59" s="34">
        <v>1</v>
      </c>
      <c r="K59" s="34">
        <v>1</v>
      </c>
      <c r="L59" s="34">
        <v>1</v>
      </c>
      <c r="M59" s="34">
        <v>1</v>
      </c>
      <c r="N59" s="34">
        <v>1</v>
      </c>
      <c r="O59" s="34">
        <v>1</v>
      </c>
      <c r="P59" s="34">
        <v>1</v>
      </c>
      <c r="Q59" s="34">
        <v>1</v>
      </c>
      <c r="R59" s="34">
        <v>1</v>
      </c>
      <c r="S59" s="34">
        <v>1</v>
      </c>
      <c r="T59" s="35">
        <v>1</v>
      </c>
      <c r="U59" s="25"/>
    </row>
    <row r="60" spans="1:23" ht="15.75" thickBot="1" x14ac:dyDescent="0.3">
      <c r="A60" s="15">
        <v>46</v>
      </c>
      <c r="B60" s="20">
        <v>0.5</v>
      </c>
      <c r="C60" s="21">
        <v>0.5</v>
      </c>
    </row>
    <row r="61" spans="1:23" ht="15.75" thickBot="1" x14ac:dyDescent="0.3"/>
    <row r="62" spans="1:23" x14ac:dyDescent="0.25">
      <c r="A62" s="36" t="s">
        <v>46</v>
      </c>
      <c r="B62" s="37" t="s">
        <v>0</v>
      </c>
      <c r="C62" s="37" t="s">
        <v>1</v>
      </c>
      <c r="D62" s="37" t="s">
        <v>2</v>
      </c>
      <c r="E62" s="37" t="s">
        <v>3</v>
      </c>
      <c r="F62" s="37" t="s">
        <v>4</v>
      </c>
      <c r="G62" s="37" t="s">
        <v>5</v>
      </c>
      <c r="H62" s="37" t="s">
        <v>6</v>
      </c>
      <c r="I62" s="37" t="s">
        <v>7</v>
      </c>
      <c r="J62" s="37" t="s">
        <v>8</v>
      </c>
      <c r="K62" s="38" t="s">
        <v>9</v>
      </c>
      <c r="M62" s="6" t="s">
        <v>46</v>
      </c>
      <c r="N62" s="7" t="s">
        <v>0</v>
      </c>
      <c r="O62" s="7" t="s">
        <v>1</v>
      </c>
      <c r="P62" s="7" t="s">
        <v>2</v>
      </c>
      <c r="Q62" s="7" t="s">
        <v>3</v>
      </c>
      <c r="R62" s="7" t="s">
        <v>4</v>
      </c>
      <c r="S62" s="7" t="s">
        <v>5</v>
      </c>
      <c r="T62" s="7" t="s">
        <v>6</v>
      </c>
      <c r="U62" s="7" t="s">
        <v>7</v>
      </c>
      <c r="V62" s="7" t="s">
        <v>8</v>
      </c>
      <c r="W62" s="39" t="s">
        <v>9</v>
      </c>
    </row>
    <row r="63" spans="1:23" x14ac:dyDescent="0.25">
      <c r="A63" s="40" t="s">
        <v>47</v>
      </c>
      <c r="B63" s="41">
        <f t="shared" ref="B63:K63" si="0">+B64+B69</f>
        <v>833799</v>
      </c>
      <c r="C63" s="41">
        <f t="shared" si="0"/>
        <v>812634</v>
      </c>
      <c r="D63" s="41">
        <f t="shared" si="0"/>
        <v>750642</v>
      </c>
      <c r="E63" s="41">
        <f t="shared" si="0"/>
        <v>1427267</v>
      </c>
      <c r="F63" s="41">
        <f t="shared" si="0"/>
        <v>1428571</v>
      </c>
      <c r="G63" s="41">
        <f t="shared" si="0"/>
        <v>4560189</v>
      </c>
      <c r="H63" s="41">
        <f t="shared" si="0"/>
        <v>5296267</v>
      </c>
      <c r="I63" s="41">
        <f t="shared" si="0"/>
        <v>1948621</v>
      </c>
      <c r="J63" s="41">
        <f t="shared" si="0"/>
        <v>2415801</v>
      </c>
      <c r="K63" s="42">
        <f t="shared" si="0"/>
        <v>3297795</v>
      </c>
      <c r="L63" s="3"/>
      <c r="M63" s="9" t="s">
        <v>47</v>
      </c>
      <c r="N63" s="43">
        <f>+B63</f>
        <v>833799</v>
      </c>
      <c r="O63" s="43">
        <f t="shared" ref="O63:W64" si="1">+C63</f>
        <v>812634</v>
      </c>
      <c r="P63" s="43">
        <f t="shared" si="1"/>
        <v>750642</v>
      </c>
      <c r="Q63" s="43">
        <f t="shared" si="1"/>
        <v>1427267</v>
      </c>
      <c r="R63" s="43">
        <f t="shared" si="1"/>
        <v>1428571</v>
      </c>
      <c r="S63" s="43">
        <f t="shared" si="1"/>
        <v>4560189</v>
      </c>
      <c r="T63" s="43">
        <f t="shared" si="1"/>
        <v>5296267</v>
      </c>
      <c r="U63" s="43">
        <f t="shared" si="1"/>
        <v>1948621</v>
      </c>
      <c r="V63" s="43">
        <f t="shared" si="1"/>
        <v>2415801</v>
      </c>
      <c r="W63" s="44">
        <f t="shared" si="1"/>
        <v>3297795</v>
      </c>
    </row>
    <row r="64" spans="1:23" x14ac:dyDescent="0.25">
      <c r="A64" s="40" t="s">
        <v>48</v>
      </c>
      <c r="B64" s="41">
        <f t="shared" ref="B64:J64" si="2">SUM(B65:B67)</f>
        <v>0</v>
      </c>
      <c r="C64" s="41">
        <f t="shared" si="2"/>
        <v>0</v>
      </c>
      <c r="D64" s="41">
        <f t="shared" si="2"/>
        <v>0</v>
      </c>
      <c r="E64" s="41">
        <f t="shared" si="2"/>
        <v>1235</v>
      </c>
      <c r="F64" s="41">
        <f t="shared" si="2"/>
        <v>23956</v>
      </c>
      <c r="G64" s="41">
        <f t="shared" si="2"/>
        <v>3173750</v>
      </c>
      <c r="H64" s="41">
        <f t="shared" si="2"/>
        <v>3986601</v>
      </c>
      <c r="I64" s="41">
        <f t="shared" si="2"/>
        <v>440411</v>
      </c>
      <c r="J64" s="41">
        <f t="shared" si="2"/>
        <v>182226</v>
      </c>
      <c r="K64" s="42">
        <f>SUM(K65:K68)</f>
        <v>370</v>
      </c>
      <c r="L64" s="3"/>
      <c r="M64" s="45" t="str">
        <f>+A64</f>
        <v>Total Piezas Reproduccion</v>
      </c>
      <c r="N64" s="43"/>
      <c r="O64" s="43"/>
      <c r="P64" s="43"/>
      <c r="Q64" s="43">
        <f>+E64</f>
        <v>1235</v>
      </c>
      <c r="R64" s="43">
        <f t="shared" si="1"/>
        <v>23956</v>
      </c>
      <c r="S64" s="43">
        <f t="shared" si="1"/>
        <v>3173750</v>
      </c>
      <c r="T64" s="43">
        <f>+H64</f>
        <v>3986601</v>
      </c>
      <c r="U64" s="43">
        <f t="shared" si="1"/>
        <v>440411</v>
      </c>
      <c r="V64" s="43">
        <f t="shared" si="1"/>
        <v>182226</v>
      </c>
      <c r="W64" s="44">
        <f t="shared" si="1"/>
        <v>370</v>
      </c>
    </row>
    <row r="65" spans="1:23" x14ac:dyDescent="0.25">
      <c r="A65" s="25" t="s">
        <v>49</v>
      </c>
      <c r="B65" s="46"/>
      <c r="C65" s="46"/>
      <c r="D65" s="46"/>
      <c r="E65" s="46">
        <v>1235</v>
      </c>
      <c r="F65" s="46">
        <v>1161</v>
      </c>
      <c r="G65" s="46">
        <v>951</v>
      </c>
      <c r="H65" s="46">
        <v>564</v>
      </c>
      <c r="I65" s="46">
        <v>376</v>
      </c>
      <c r="J65" s="46">
        <v>381</v>
      </c>
      <c r="K65" s="47">
        <v>370</v>
      </c>
      <c r="M65" s="25" t="str">
        <f>+A65</f>
        <v>Piezas Reproductores</v>
      </c>
      <c r="N65" s="48">
        <f>+B64</f>
        <v>0</v>
      </c>
      <c r="O65" s="48">
        <f t="shared" ref="O65:P65" si="3">+C64</f>
        <v>0</v>
      </c>
      <c r="P65" s="48">
        <f t="shared" si="3"/>
        <v>0</v>
      </c>
      <c r="Q65" s="49">
        <f>+E65/$Q$83</f>
        <v>1</v>
      </c>
      <c r="R65" s="50">
        <f>+F65/$R$64</f>
        <v>4.8463850392386043E-2</v>
      </c>
      <c r="S65" s="50">
        <f>+G65/$S$64</f>
        <v>2.9964552973611659E-4</v>
      </c>
      <c r="T65" s="50">
        <f>+H65/$T$64</f>
        <v>1.4147390220390754E-4</v>
      </c>
      <c r="U65" s="50">
        <f>+I65/$U$64</f>
        <v>8.5374797632211731E-4</v>
      </c>
      <c r="V65" s="50">
        <f>+J65/$V$64</f>
        <v>2.0908103124691315E-3</v>
      </c>
      <c r="W65" s="51">
        <f>+K65/$W$64</f>
        <v>1</v>
      </c>
    </row>
    <row r="66" spans="1:23" x14ac:dyDescent="0.25">
      <c r="A66" s="25" t="s">
        <v>50</v>
      </c>
      <c r="B66" s="46">
        <v>0</v>
      </c>
      <c r="C66" s="46">
        <v>0</v>
      </c>
      <c r="D66" s="46">
        <v>0</v>
      </c>
      <c r="E66" s="46">
        <v>0</v>
      </c>
      <c r="F66" s="46">
        <v>22795</v>
      </c>
      <c r="G66" s="46">
        <f>627804+1216563</f>
        <v>1844367</v>
      </c>
      <c r="H66" s="46">
        <f>2437982+0</f>
        <v>2437982</v>
      </c>
      <c r="I66" s="46">
        <v>440035</v>
      </c>
      <c r="J66" s="46">
        <v>0</v>
      </c>
      <c r="K66" s="52">
        <v>0</v>
      </c>
      <c r="M66" s="25" t="str">
        <f t="shared" ref="M66:M68" si="4">+A66</f>
        <v>Ovas Verde</v>
      </c>
      <c r="N66" s="48"/>
      <c r="O66" s="48"/>
      <c r="P66" s="48"/>
      <c r="Q66" s="49"/>
      <c r="R66" s="50">
        <f t="shared" ref="R66:R67" si="5">+F66/$R$64</f>
        <v>0.95153614960761401</v>
      </c>
      <c r="S66" s="50">
        <f t="shared" ref="S66:S67" si="6">+G66/$S$64</f>
        <v>0.58113178416699485</v>
      </c>
      <c r="T66" s="50">
        <f t="shared" ref="T66:T67" si="7">+H66/$T$64</f>
        <v>0.61154401957958671</v>
      </c>
      <c r="U66" s="50">
        <f t="shared" ref="U66:U67" si="8">+I66/$U$64</f>
        <v>0.99914625202367791</v>
      </c>
      <c r="V66" s="50">
        <f t="shared" ref="V66:V67" si="9">+J66/$V$64</f>
        <v>0</v>
      </c>
      <c r="W66" s="51">
        <f t="shared" ref="W66:W68" si="10">+K66/$W$64</f>
        <v>0</v>
      </c>
    </row>
    <row r="67" spans="1:23" x14ac:dyDescent="0.25">
      <c r="A67" s="25" t="s">
        <v>51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1328432</v>
      </c>
      <c r="H67" s="46">
        <v>1548055</v>
      </c>
      <c r="I67" s="46">
        <v>0</v>
      </c>
      <c r="J67" s="46">
        <v>181845</v>
      </c>
      <c r="K67" s="52">
        <f>+K89</f>
        <v>0</v>
      </c>
      <c r="M67" s="25" t="str">
        <f t="shared" si="4"/>
        <v>Ovas Con Ojos AQ-4</v>
      </c>
      <c r="N67" s="48"/>
      <c r="O67" s="48"/>
      <c r="P67" s="48"/>
      <c r="Q67" s="49"/>
      <c r="R67" s="50">
        <f t="shared" si="5"/>
        <v>0</v>
      </c>
      <c r="S67" s="50">
        <f t="shared" si="6"/>
        <v>0.41856857030326899</v>
      </c>
      <c r="T67" s="50">
        <f t="shared" si="7"/>
        <v>0.38831450651820937</v>
      </c>
      <c r="U67" s="50">
        <f t="shared" si="8"/>
        <v>0</v>
      </c>
      <c r="V67" s="50">
        <f t="shared" si="9"/>
        <v>0.99790918968753084</v>
      </c>
      <c r="W67" s="51">
        <f t="shared" si="10"/>
        <v>0</v>
      </c>
    </row>
    <row r="68" spans="1:23" x14ac:dyDescent="0.25">
      <c r="A68" s="25" t="s">
        <v>52</v>
      </c>
      <c r="B68" s="46"/>
      <c r="C68" s="46"/>
      <c r="D68" s="46"/>
      <c r="E68" s="46"/>
      <c r="F68" s="46"/>
      <c r="G68" s="46"/>
      <c r="H68" s="46"/>
      <c r="I68" s="46"/>
      <c r="J68" s="46"/>
      <c r="K68" s="52">
        <f>+K90</f>
        <v>0</v>
      </c>
      <c r="M68" s="25" t="str">
        <f t="shared" si="4"/>
        <v>Ovas Con Ojos AQ-5</v>
      </c>
      <c r="N68" s="48"/>
      <c r="O68" s="48"/>
      <c r="P68" s="48"/>
      <c r="Q68" s="49"/>
      <c r="R68" s="50"/>
      <c r="S68" s="50"/>
      <c r="T68" s="50"/>
      <c r="U68" s="50"/>
      <c r="V68" s="50"/>
      <c r="W68" s="51">
        <f t="shared" si="10"/>
        <v>0</v>
      </c>
    </row>
    <row r="69" spans="1:23" x14ac:dyDescent="0.25">
      <c r="A69" s="40" t="s">
        <v>53</v>
      </c>
      <c r="B69" s="41">
        <f>SUM(B70:B78)</f>
        <v>833799</v>
      </c>
      <c r="C69" s="41">
        <f t="shared" ref="C69:I69" si="11">SUM(C70:C78)</f>
        <v>812634</v>
      </c>
      <c r="D69" s="41">
        <f t="shared" si="11"/>
        <v>750642</v>
      </c>
      <c r="E69" s="41">
        <f t="shared" si="11"/>
        <v>1426032</v>
      </c>
      <c r="F69" s="41">
        <f t="shared" si="11"/>
        <v>1404615</v>
      </c>
      <c r="G69" s="41">
        <f>SUM(G70:G78)</f>
        <v>1386439</v>
      </c>
      <c r="H69" s="41">
        <f t="shared" si="11"/>
        <v>1309666</v>
      </c>
      <c r="I69" s="41">
        <f t="shared" si="11"/>
        <v>1508210</v>
      </c>
      <c r="J69" s="41">
        <f>SUM(J70:J78)</f>
        <v>2233575</v>
      </c>
      <c r="K69" s="42">
        <f>SUM(K70:K78)</f>
        <v>3297425</v>
      </c>
      <c r="M69" s="53" t="str">
        <f>+A69</f>
        <v>Total Piezas Engorde</v>
      </c>
      <c r="N69" s="54">
        <f>+B69</f>
        <v>833799</v>
      </c>
      <c r="O69" s="54">
        <f t="shared" ref="O69:T69" si="12">+C69</f>
        <v>812634</v>
      </c>
      <c r="P69" s="54">
        <f t="shared" si="12"/>
        <v>750642</v>
      </c>
      <c r="Q69" s="54">
        <f t="shared" si="12"/>
        <v>1426032</v>
      </c>
      <c r="R69" s="54">
        <f t="shared" si="12"/>
        <v>1404615</v>
      </c>
      <c r="S69" s="54">
        <f t="shared" si="12"/>
        <v>1386439</v>
      </c>
      <c r="T69" s="54">
        <f t="shared" si="12"/>
        <v>1309666</v>
      </c>
      <c r="U69" s="54">
        <f>+I69</f>
        <v>1508210</v>
      </c>
      <c r="V69" s="54">
        <f>+J69</f>
        <v>2233575</v>
      </c>
      <c r="W69" s="55">
        <f>+K69</f>
        <v>3297425</v>
      </c>
    </row>
    <row r="70" spans="1:23" x14ac:dyDescent="0.25">
      <c r="A70" s="25" t="s">
        <v>54</v>
      </c>
      <c r="B70" s="46"/>
      <c r="C70" s="46"/>
      <c r="D70" s="46"/>
      <c r="E70" s="46"/>
      <c r="F70" s="46"/>
      <c r="G70" s="46"/>
      <c r="H70" s="46"/>
      <c r="I70" s="46"/>
      <c r="J70" s="46"/>
      <c r="K70" s="47"/>
      <c r="M70" s="25" t="str">
        <f>+A70</f>
        <v>Alevines Smolt FT</v>
      </c>
      <c r="N70" s="56">
        <f>+B70/$N$69</f>
        <v>0</v>
      </c>
      <c r="O70" s="56">
        <f>+C70/$O$92</f>
        <v>0</v>
      </c>
      <c r="P70" s="56">
        <f t="shared" ref="P70:P78" si="13">+D70/$P$92</f>
        <v>0</v>
      </c>
      <c r="Q70" s="56">
        <f t="shared" ref="Q70:Q78" si="14">+E70/$Q$92</f>
        <v>0</v>
      </c>
      <c r="R70" s="56">
        <f t="shared" ref="R70:R78" si="15">+F70/$R$92</f>
        <v>0</v>
      </c>
      <c r="S70" s="56">
        <f t="shared" ref="S70:S78" si="16">+G70/$S$92</f>
        <v>0</v>
      </c>
      <c r="T70" s="56">
        <f t="shared" ref="T70:T78" si="17">+H70/$T$92</f>
        <v>0</v>
      </c>
      <c r="U70" s="57">
        <f>+I70/$U$92</f>
        <v>0</v>
      </c>
      <c r="V70" s="57">
        <f>+J70/$U$92</f>
        <v>0</v>
      </c>
      <c r="W70" s="58">
        <f>+K70/$U$92</f>
        <v>0</v>
      </c>
    </row>
    <row r="71" spans="1:23" x14ac:dyDescent="0.25">
      <c r="A71" s="25" t="s">
        <v>10</v>
      </c>
      <c r="B71" s="46">
        <f>+'[2]Reporte G'!B34+'[2]Reporte G'!B61</f>
        <v>833799</v>
      </c>
      <c r="C71" s="46">
        <f>+'[2]Reporte G'!C34+'[2]Reporte G'!C61</f>
        <v>812634</v>
      </c>
      <c r="D71" s="46">
        <f>+'[2]Reporte G'!D34+'[2]Reporte G'!D61</f>
        <v>750642</v>
      </c>
      <c r="E71" s="46">
        <f>+'[2]Reporte G'!E34+'[2]Reporte G'!E61</f>
        <v>617765</v>
      </c>
      <c r="F71" s="46">
        <f>+'[2]Reporte G'!F34+'[2]Reporte G'!F61</f>
        <v>607693</v>
      </c>
      <c r="G71" s="46">
        <f>+'[2]Reporte G'!G34+'[2]Reporte G'!G61</f>
        <v>606098</v>
      </c>
      <c r="H71" s="46">
        <f>+'[2]Reporte G'!H34+'[2]Reporte G'!H61</f>
        <v>573645</v>
      </c>
      <c r="I71" s="46">
        <f>+'[2]Reporte G'!I34+'[2]Reporte G'!I61</f>
        <v>532852</v>
      </c>
      <c r="J71" s="46">
        <f>+'[2]Reporte G'!J34+'[2]Reporte G'!J61</f>
        <v>473882</v>
      </c>
      <c r="K71" s="47">
        <v>260650</v>
      </c>
      <c r="M71" s="25" t="str">
        <f t="shared" ref="M71:M78" si="18">+A71</f>
        <v>Trucha Engorde Hendrix 1</v>
      </c>
      <c r="N71" s="56">
        <f t="shared" ref="N71:N78" si="19">+B71/$N$92</f>
        <v>1</v>
      </c>
      <c r="O71" s="56">
        <f t="shared" ref="O71:O78" si="20">+C71/$C$82</f>
        <v>1</v>
      </c>
      <c r="P71" s="56">
        <f t="shared" si="13"/>
        <v>1</v>
      </c>
      <c r="Q71" s="56">
        <f t="shared" si="14"/>
        <v>0.4332055662145029</v>
      </c>
      <c r="R71" s="56">
        <f t="shared" si="15"/>
        <v>0.43264026085439783</v>
      </c>
      <c r="S71" s="56">
        <f t="shared" si="16"/>
        <v>0.43716167822745899</v>
      </c>
      <c r="T71" s="56">
        <f t="shared" si="17"/>
        <v>0.4380086220456208</v>
      </c>
      <c r="U71" s="56">
        <f>+I71/$U$69</f>
        <v>0.35330093289396042</v>
      </c>
      <c r="V71" s="56">
        <f>+J71/$V$69</f>
        <v>0.21216301221136519</v>
      </c>
      <c r="W71" s="59">
        <f>+K71/$W$69</f>
        <v>7.9046528730752033E-2</v>
      </c>
    </row>
    <row r="72" spans="1:23" x14ac:dyDescent="0.25">
      <c r="A72" s="25" t="s">
        <v>11</v>
      </c>
      <c r="B72" s="46">
        <f>+'[2]Reporte G'!B75+'[2]Reporte G'!B105</f>
        <v>0</v>
      </c>
      <c r="C72" s="46">
        <f>+'[2]Reporte G'!C75+'[2]Reporte G'!C105</f>
        <v>0</v>
      </c>
      <c r="D72" s="46">
        <f>+'[2]Reporte G'!D75+'[2]Reporte G'!D105</f>
        <v>0</v>
      </c>
      <c r="E72" s="46">
        <f>+'[2]Reporte G'!E75+'[2]Reporte G'!E105</f>
        <v>808267</v>
      </c>
      <c r="F72" s="46">
        <f>+'[2]Reporte G'!F75+'[2]Reporte G'!F105</f>
        <v>796922</v>
      </c>
      <c r="G72" s="46">
        <f>+'[2]Reporte G'!G75+'[2]Reporte G'!G105</f>
        <v>780341</v>
      </c>
      <c r="H72" s="46">
        <f>+'[2]Reporte G'!H75+'[2]Reporte G'!H105</f>
        <v>736021</v>
      </c>
      <c r="I72" s="46">
        <f>+'[2]Reporte G'!I75+'[2]Reporte G'!I105</f>
        <v>430675</v>
      </c>
      <c r="J72" s="46">
        <f>+'[2]Reporte G'!J75+'[2]Reporte G'!J105</f>
        <v>334436</v>
      </c>
      <c r="K72" s="47">
        <v>334815</v>
      </c>
      <c r="M72" s="25" t="str">
        <f t="shared" si="18"/>
        <v>Trucha Engorde Hendrix 2</v>
      </c>
      <c r="N72" s="56">
        <f t="shared" si="19"/>
        <v>0</v>
      </c>
      <c r="O72" s="56">
        <f t="shared" si="20"/>
        <v>0</v>
      </c>
      <c r="P72" s="56">
        <f t="shared" si="13"/>
        <v>0</v>
      </c>
      <c r="Q72" s="56">
        <f t="shared" si="14"/>
        <v>0.5667944337854971</v>
      </c>
      <c r="R72" s="56">
        <f t="shared" si="15"/>
        <v>0.56735973914560223</v>
      </c>
      <c r="S72" s="56">
        <f t="shared" si="16"/>
        <v>0.56283832177254101</v>
      </c>
      <c r="T72" s="56">
        <f t="shared" si="17"/>
        <v>0.56199137795437926</v>
      </c>
      <c r="U72" s="56">
        <f>+I72/$U$69</f>
        <v>0.28555373588558625</v>
      </c>
      <c r="V72" s="56">
        <f>+J72/$V$69</f>
        <v>0.14973126042331239</v>
      </c>
      <c r="W72" s="59">
        <f t="shared" ref="W72:W78" si="21">+K72/$W$69</f>
        <v>0.10153832156910317</v>
      </c>
    </row>
    <row r="73" spans="1:23" x14ac:dyDescent="0.25">
      <c r="A73" s="25" t="s">
        <v>12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223088</v>
      </c>
      <c r="J73" s="46">
        <v>189630</v>
      </c>
      <c r="K73" s="47">
        <v>247445</v>
      </c>
      <c r="M73" s="25" t="str">
        <f t="shared" si="18"/>
        <v xml:space="preserve">AQ 01 </v>
      </c>
      <c r="N73" s="56">
        <f t="shared" si="19"/>
        <v>0</v>
      </c>
      <c r="O73" s="56">
        <f t="shared" si="20"/>
        <v>0</v>
      </c>
      <c r="P73" s="56">
        <f t="shared" si="13"/>
        <v>0</v>
      </c>
      <c r="Q73" s="56">
        <f t="shared" si="14"/>
        <v>0</v>
      </c>
      <c r="R73" s="56">
        <f t="shared" si="15"/>
        <v>0</v>
      </c>
      <c r="S73" s="56">
        <f t="shared" si="16"/>
        <v>0</v>
      </c>
      <c r="T73" s="56">
        <f t="shared" si="17"/>
        <v>0</v>
      </c>
      <c r="U73" s="56">
        <f t="shared" ref="U73:U78" si="22">+I73/$U$69</f>
        <v>0.14791574117662659</v>
      </c>
      <c r="V73" s="56">
        <f t="shared" ref="V73:V78" si="23">+J73/$V$69</f>
        <v>8.4899768308653173E-2</v>
      </c>
      <c r="W73" s="59">
        <f t="shared" si="21"/>
        <v>7.5041888746521901E-2</v>
      </c>
    </row>
    <row r="74" spans="1:23" x14ac:dyDescent="0.25">
      <c r="A74" s="25" t="s">
        <v>13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321595</v>
      </c>
      <c r="J74" s="46">
        <v>274088</v>
      </c>
      <c r="K74" s="47">
        <v>439304</v>
      </c>
      <c r="M74" s="25" t="str">
        <f t="shared" si="18"/>
        <v>AQ 02</v>
      </c>
      <c r="N74" s="56">
        <f t="shared" si="19"/>
        <v>0</v>
      </c>
      <c r="O74" s="56">
        <f t="shared" si="20"/>
        <v>0</v>
      </c>
      <c r="P74" s="56">
        <f t="shared" si="13"/>
        <v>0</v>
      </c>
      <c r="Q74" s="56">
        <f t="shared" si="14"/>
        <v>0</v>
      </c>
      <c r="R74" s="56">
        <f t="shared" si="15"/>
        <v>0</v>
      </c>
      <c r="S74" s="56">
        <f t="shared" si="16"/>
        <v>0</v>
      </c>
      <c r="T74" s="56">
        <f t="shared" si="17"/>
        <v>0</v>
      </c>
      <c r="U74" s="56">
        <f t="shared" si="22"/>
        <v>0.2132295900438268</v>
      </c>
      <c r="V74" s="56">
        <f t="shared" si="23"/>
        <v>0.12271269153710979</v>
      </c>
      <c r="W74" s="59">
        <f t="shared" si="21"/>
        <v>0.13322638119138419</v>
      </c>
    </row>
    <row r="75" spans="1:23" x14ac:dyDescent="0.25">
      <c r="A75" s="25" t="s">
        <v>14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961539</v>
      </c>
      <c r="K75" s="47">
        <v>1201082</v>
      </c>
      <c r="M75" s="25" t="str">
        <f t="shared" si="18"/>
        <v>AQ 03</v>
      </c>
      <c r="N75" s="56">
        <f t="shared" si="19"/>
        <v>0</v>
      </c>
      <c r="O75" s="56">
        <f t="shared" si="20"/>
        <v>0</v>
      </c>
      <c r="P75" s="56">
        <f t="shared" si="13"/>
        <v>0</v>
      </c>
      <c r="Q75" s="56">
        <f t="shared" si="14"/>
        <v>0</v>
      </c>
      <c r="R75" s="56">
        <f t="shared" si="15"/>
        <v>0</v>
      </c>
      <c r="S75" s="56">
        <f t="shared" si="16"/>
        <v>0</v>
      </c>
      <c r="T75" s="56">
        <f t="shared" si="17"/>
        <v>0</v>
      </c>
      <c r="U75" s="56">
        <f t="shared" si="22"/>
        <v>0</v>
      </c>
      <c r="V75" s="56">
        <f t="shared" si="23"/>
        <v>0.43049326751955946</v>
      </c>
      <c r="W75" s="59">
        <f t="shared" si="21"/>
        <v>0.36424846660651872</v>
      </c>
    </row>
    <row r="76" spans="1:23" x14ac:dyDescent="0.25">
      <c r="A76" s="25" t="s">
        <v>15</v>
      </c>
      <c r="B76" s="46"/>
      <c r="C76" s="46"/>
      <c r="D76" s="46"/>
      <c r="E76" s="46"/>
      <c r="F76" s="60"/>
      <c r="G76" s="60"/>
      <c r="H76" s="60"/>
      <c r="I76" s="60"/>
      <c r="J76" s="60"/>
      <c r="K76" s="47">
        <f>+[2]Produccion!U190</f>
        <v>814129</v>
      </c>
      <c r="M76" s="25" t="str">
        <f t="shared" si="18"/>
        <v>AQ 04</v>
      </c>
      <c r="N76" s="56">
        <f t="shared" si="19"/>
        <v>0</v>
      </c>
      <c r="O76" s="56">
        <f t="shared" si="20"/>
        <v>0</v>
      </c>
      <c r="P76" s="56">
        <f t="shared" si="13"/>
        <v>0</v>
      </c>
      <c r="Q76" s="56">
        <f t="shared" si="14"/>
        <v>0</v>
      </c>
      <c r="R76" s="56">
        <f t="shared" si="15"/>
        <v>0</v>
      </c>
      <c r="S76" s="56">
        <f t="shared" si="16"/>
        <v>0</v>
      </c>
      <c r="T76" s="56">
        <f t="shared" si="17"/>
        <v>0</v>
      </c>
      <c r="U76" s="56">
        <f t="shared" si="22"/>
        <v>0</v>
      </c>
      <c r="V76" s="56">
        <f t="shared" si="23"/>
        <v>0</v>
      </c>
      <c r="W76" s="59">
        <f t="shared" si="21"/>
        <v>0.24689841315572</v>
      </c>
    </row>
    <row r="77" spans="1:23" x14ac:dyDescent="0.25">
      <c r="A77" s="25" t="s">
        <v>16</v>
      </c>
      <c r="B77" s="46"/>
      <c r="D77" s="46"/>
      <c r="E77" s="46"/>
      <c r="F77" s="60"/>
      <c r="G77" s="60"/>
      <c r="H77" s="60"/>
      <c r="I77" s="60"/>
      <c r="J77" s="60"/>
      <c r="K77" s="47"/>
      <c r="M77" s="25" t="str">
        <f t="shared" si="18"/>
        <v>AQ 05</v>
      </c>
      <c r="N77" s="56">
        <f t="shared" si="19"/>
        <v>0</v>
      </c>
      <c r="O77" s="56">
        <f t="shared" si="20"/>
        <v>0</v>
      </c>
      <c r="P77" s="56">
        <f t="shared" si="13"/>
        <v>0</v>
      </c>
      <c r="Q77" s="56">
        <f t="shared" si="14"/>
        <v>0</v>
      </c>
      <c r="R77" s="56">
        <f t="shared" si="15"/>
        <v>0</v>
      </c>
      <c r="S77" s="56">
        <f t="shared" si="16"/>
        <v>0</v>
      </c>
      <c r="T77" s="56">
        <f t="shared" si="17"/>
        <v>0</v>
      </c>
      <c r="U77" s="56">
        <f t="shared" si="22"/>
        <v>0</v>
      </c>
      <c r="V77" s="56">
        <f t="shared" si="23"/>
        <v>0</v>
      </c>
      <c r="W77" s="59">
        <f t="shared" si="21"/>
        <v>0</v>
      </c>
    </row>
    <row r="78" spans="1:23" ht="15.75" thickBot="1" x14ac:dyDescent="0.3">
      <c r="A78" s="26" t="s">
        <v>17</v>
      </c>
      <c r="B78" s="61"/>
      <c r="C78" s="61"/>
      <c r="D78" s="61"/>
      <c r="E78" s="61"/>
      <c r="F78" s="62"/>
      <c r="G78" s="62"/>
      <c r="H78" s="27"/>
      <c r="I78" s="62"/>
      <c r="J78" s="62"/>
      <c r="K78" s="28"/>
      <c r="M78" s="26" t="str">
        <f t="shared" si="18"/>
        <v>AQ 06</v>
      </c>
      <c r="N78" s="63">
        <f t="shared" si="19"/>
        <v>0</v>
      </c>
      <c r="O78" s="63">
        <f t="shared" si="20"/>
        <v>0</v>
      </c>
      <c r="P78" s="63">
        <f t="shared" si="13"/>
        <v>0</v>
      </c>
      <c r="Q78" s="63">
        <f t="shared" si="14"/>
        <v>0</v>
      </c>
      <c r="R78" s="63">
        <f t="shared" si="15"/>
        <v>0</v>
      </c>
      <c r="S78" s="63">
        <f t="shared" si="16"/>
        <v>0</v>
      </c>
      <c r="T78" s="63">
        <f t="shared" si="17"/>
        <v>0</v>
      </c>
      <c r="U78" s="63">
        <f t="shared" si="22"/>
        <v>0</v>
      </c>
      <c r="V78" s="63">
        <f t="shared" si="23"/>
        <v>0</v>
      </c>
      <c r="W78" s="64">
        <f t="shared" si="21"/>
        <v>0</v>
      </c>
    </row>
    <row r="79" spans="1:23" ht="15.75" thickBot="1" x14ac:dyDescent="0.3">
      <c r="B79" s="46"/>
      <c r="C79" s="46"/>
      <c r="D79" s="46"/>
      <c r="E79" s="46"/>
      <c r="F79" s="60"/>
      <c r="G79" s="60"/>
      <c r="I79" s="60"/>
      <c r="J79" s="60"/>
      <c r="N79" s="56"/>
      <c r="O79" s="56"/>
      <c r="P79" s="56"/>
      <c r="Q79" s="56"/>
      <c r="R79" s="56"/>
      <c r="S79" s="56"/>
      <c r="T79" s="56"/>
      <c r="U79" s="56"/>
      <c r="V79" s="56"/>
      <c r="W79" s="56"/>
    </row>
    <row r="80" spans="1:23" ht="15.75" thickBot="1" x14ac:dyDescent="0.3">
      <c r="A80" s="22" t="s">
        <v>55</v>
      </c>
      <c r="M80" s="22" t="s">
        <v>55</v>
      </c>
      <c r="N80" s="65"/>
      <c r="O80" s="65"/>
      <c r="P80" s="65"/>
      <c r="Q80" s="65"/>
      <c r="R80" s="65"/>
      <c r="S80" s="65"/>
      <c r="T80" s="65"/>
      <c r="U80" s="65"/>
      <c r="V80" s="65"/>
      <c r="W80" s="66"/>
    </row>
    <row r="81" spans="1:23" x14ac:dyDescent="0.25">
      <c r="A81" s="36" t="s">
        <v>46</v>
      </c>
      <c r="B81" s="37" t="s">
        <v>0</v>
      </c>
      <c r="C81" s="37" t="s">
        <v>1</v>
      </c>
      <c r="D81" s="37" t="s">
        <v>2</v>
      </c>
      <c r="E81" s="37" t="s">
        <v>3</v>
      </c>
      <c r="F81" s="37" t="s">
        <v>4</v>
      </c>
      <c r="G81" s="37" t="s">
        <v>5</v>
      </c>
      <c r="H81" s="37" t="s">
        <v>6</v>
      </c>
      <c r="I81" s="37" t="s">
        <v>7</v>
      </c>
      <c r="J81" s="37" t="s">
        <v>8</v>
      </c>
      <c r="K81" s="38" t="s">
        <v>9</v>
      </c>
      <c r="M81" s="6" t="s">
        <v>46</v>
      </c>
      <c r="N81" s="7" t="s">
        <v>0</v>
      </c>
      <c r="O81" s="7" t="s">
        <v>1</v>
      </c>
      <c r="P81" s="7" t="s">
        <v>2</v>
      </c>
      <c r="Q81" s="7" t="s">
        <v>3</v>
      </c>
      <c r="R81" s="7" t="s">
        <v>4</v>
      </c>
      <c r="S81" s="7" t="s">
        <v>5</v>
      </c>
      <c r="T81" s="7" t="s">
        <v>6</v>
      </c>
      <c r="U81" s="7" t="s">
        <v>7</v>
      </c>
      <c r="V81" s="7" t="s">
        <v>8</v>
      </c>
      <c r="W81" s="39" t="s">
        <v>9</v>
      </c>
    </row>
    <row r="82" spans="1:23" s="67" customFormat="1" x14ac:dyDescent="0.25">
      <c r="A82" s="40" t="s">
        <v>47</v>
      </c>
      <c r="B82" s="41">
        <f t="shared" ref="B82:K82" si="24">+B83+B92</f>
        <v>833799</v>
      </c>
      <c r="C82" s="41">
        <f t="shared" si="24"/>
        <v>812634</v>
      </c>
      <c r="D82" s="41">
        <f t="shared" si="24"/>
        <v>750642</v>
      </c>
      <c r="E82" s="41">
        <f t="shared" si="24"/>
        <v>1427267</v>
      </c>
      <c r="F82" s="41">
        <f t="shared" si="24"/>
        <v>1428571</v>
      </c>
      <c r="G82" s="41">
        <f t="shared" si="24"/>
        <v>3368206</v>
      </c>
      <c r="H82" s="41">
        <f t="shared" si="24"/>
        <v>4917270</v>
      </c>
      <c r="I82" s="41">
        <f t="shared" si="24"/>
        <v>2938431</v>
      </c>
      <c r="J82" s="41">
        <f t="shared" si="24"/>
        <v>990544</v>
      </c>
      <c r="K82" s="42">
        <f t="shared" si="24"/>
        <v>261020</v>
      </c>
      <c r="L82" s="3"/>
      <c r="M82" s="9" t="s">
        <v>47</v>
      </c>
      <c r="N82" s="43">
        <f>+B82</f>
        <v>833799</v>
      </c>
      <c r="O82" s="43">
        <f t="shared" ref="O82:W83" si="25">+C82</f>
        <v>812634</v>
      </c>
      <c r="P82" s="43">
        <f t="shared" si="25"/>
        <v>750642</v>
      </c>
      <c r="Q82" s="43">
        <f t="shared" si="25"/>
        <v>1427267</v>
      </c>
      <c r="R82" s="43">
        <f t="shared" si="25"/>
        <v>1428571</v>
      </c>
      <c r="S82" s="43">
        <f t="shared" si="25"/>
        <v>3368206</v>
      </c>
      <c r="T82" s="43">
        <f t="shared" si="25"/>
        <v>4917270</v>
      </c>
      <c r="U82" s="43">
        <f t="shared" si="25"/>
        <v>2938431</v>
      </c>
      <c r="V82" s="43">
        <f t="shared" si="25"/>
        <v>990544</v>
      </c>
      <c r="W82" s="44">
        <f t="shared" si="25"/>
        <v>261020</v>
      </c>
    </row>
    <row r="83" spans="1:23" s="67" customFormat="1" ht="15.75" thickBot="1" x14ac:dyDescent="0.3">
      <c r="A83" s="68" t="s">
        <v>48</v>
      </c>
      <c r="B83" s="69">
        <f t="shared" ref="B83:K83" si="26">SUM(B84:B91)</f>
        <v>0</v>
      </c>
      <c r="C83" s="69">
        <f t="shared" si="26"/>
        <v>0</v>
      </c>
      <c r="D83" s="69">
        <f t="shared" si="26"/>
        <v>0</v>
      </c>
      <c r="E83" s="69">
        <f t="shared" si="26"/>
        <v>1235</v>
      </c>
      <c r="F83" s="69">
        <f t="shared" si="26"/>
        <v>23956</v>
      </c>
      <c r="G83" s="69">
        <f t="shared" si="26"/>
        <v>1981767</v>
      </c>
      <c r="H83" s="69">
        <f t="shared" si="26"/>
        <v>3607604</v>
      </c>
      <c r="I83" s="69">
        <f t="shared" si="26"/>
        <v>2011391</v>
      </c>
      <c r="J83" s="69">
        <f t="shared" si="26"/>
        <v>182226</v>
      </c>
      <c r="K83" s="70">
        <f t="shared" si="26"/>
        <v>370</v>
      </c>
      <c r="L83" s="3"/>
      <c r="M83" s="45" t="str">
        <f>+A83</f>
        <v>Total Piezas Reproduccion</v>
      </c>
      <c r="N83" s="43"/>
      <c r="O83" s="43"/>
      <c r="P83" s="43"/>
      <c r="Q83" s="43">
        <f>+E83</f>
        <v>1235</v>
      </c>
      <c r="R83" s="43">
        <f t="shared" si="25"/>
        <v>23956</v>
      </c>
      <c r="S83" s="43">
        <f t="shared" si="25"/>
        <v>1981767</v>
      </c>
      <c r="T83" s="43">
        <f>+H83</f>
        <v>3607604</v>
      </c>
      <c r="U83" s="43">
        <f t="shared" si="25"/>
        <v>2011391</v>
      </c>
      <c r="V83" s="43">
        <f t="shared" si="25"/>
        <v>182226</v>
      </c>
      <c r="W83" s="44">
        <f t="shared" si="25"/>
        <v>370</v>
      </c>
    </row>
    <row r="84" spans="1:23" x14ac:dyDescent="0.25">
      <c r="A84" s="25" t="s">
        <v>49</v>
      </c>
      <c r="B84" s="46"/>
      <c r="C84" s="46"/>
      <c r="D84" s="46"/>
      <c r="E84" s="46">
        <v>1235</v>
      </c>
      <c r="F84" s="46">
        <v>1161</v>
      </c>
      <c r="G84" s="46">
        <v>951</v>
      </c>
      <c r="H84" s="46">
        <v>564</v>
      </c>
      <c r="I84" s="46">
        <v>376</v>
      </c>
      <c r="J84" s="46">
        <f>+J65</f>
        <v>381</v>
      </c>
      <c r="K84" s="47">
        <f>+K65</f>
        <v>370</v>
      </c>
      <c r="M84" s="71" t="s">
        <v>49</v>
      </c>
      <c r="N84" s="48">
        <f>+B83</f>
        <v>0</v>
      </c>
      <c r="O84" s="48">
        <f t="shared" ref="O84:P84" si="27">+C83</f>
        <v>0</v>
      </c>
      <c r="P84" s="48">
        <f t="shared" si="27"/>
        <v>0</v>
      </c>
      <c r="Q84" s="72">
        <f>+E84/$Q$83</f>
        <v>1</v>
      </c>
      <c r="R84" s="73">
        <f>+F84/$R$83</f>
        <v>4.8463850392386043E-2</v>
      </c>
      <c r="S84" s="73">
        <f>+G84/$S$83</f>
        <v>4.7987477841744263E-4</v>
      </c>
      <c r="T84" s="73">
        <f>+H84/$T$83</f>
        <v>1.5633644934421849E-4</v>
      </c>
      <c r="U84" s="73">
        <f t="shared" ref="U84:U89" si="28">+I84/$U$83</f>
        <v>1.8693530994222407E-4</v>
      </c>
      <c r="V84" s="73">
        <f>+J84/$V$83</f>
        <v>2.0908103124691315E-3</v>
      </c>
      <c r="W84" s="74">
        <f>+K84/$W$83</f>
        <v>1</v>
      </c>
    </row>
    <row r="85" spans="1:23" x14ac:dyDescent="0.25">
      <c r="A85" s="25" t="s">
        <v>12</v>
      </c>
      <c r="B85" s="46"/>
      <c r="C85" s="46"/>
      <c r="D85" s="46"/>
      <c r="E85" s="46"/>
      <c r="F85" s="75">
        <v>22795</v>
      </c>
      <c r="G85" s="76">
        <f>168707+115975+254004</f>
        <v>538686</v>
      </c>
      <c r="H85" s="60"/>
      <c r="I85" s="60"/>
      <c r="J85" s="60"/>
      <c r="K85" s="52"/>
      <c r="M85" s="25" t="s">
        <v>12</v>
      </c>
      <c r="N85" s="48"/>
      <c r="O85" s="48"/>
      <c r="P85" s="48"/>
      <c r="Q85" s="72"/>
      <c r="R85" s="77">
        <f>+F85/$R$83</f>
        <v>0.95153614960761401</v>
      </c>
      <c r="S85" s="77">
        <f>+G85/$S$83</f>
        <v>0.27182105666306888</v>
      </c>
      <c r="T85" s="73">
        <f>+H85/$T$83</f>
        <v>0</v>
      </c>
      <c r="U85" s="73">
        <f t="shared" si="28"/>
        <v>0</v>
      </c>
      <c r="V85" s="73">
        <f>+J85/$V$83</f>
        <v>0</v>
      </c>
      <c r="W85" s="74">
        <f>+K85/$W$83</f>
        <v>0</v>
      </c>
    </row>
    <row r="86" spans="1:23" x14ac:dyDescent="0.25">
      <c r="A86" s="25" t="s">
        <v>12</v>
      </c>
      <c r="B86" s="46"/>
      <c r="C86" s="46"/>
      <c r="D86" s="46"/>
      <c r="E86" s="46"/>
      <c r="F86" s="60"/>
      <c r="G86" s="78">
        <f>10120+94535+31794</f>
        <v>136449</v>
      </c>
      <c r="H86" s="79">
        <v>145680</v>
      </c>
      <c r="I86" s="60"/>
      <c r="J86" s="60"/>
      <c r="K86" s="52"/>
      <c r="M86" s="25" t="s">
        <v>12</v>
      </c>
      <c r="N86" s="48"/>
      <c r="O86" s="48"/>
      <c r="P86" s="48"/>
      <c r="Q86" s="72"/>
      <c r="R86" s="73"/>
      <c r="S86" s="80">
        <f t="shared" ref="S86:S89" si="29">+G86/$S$83</f>
        <v>6.8852190999244611E-2</v>
      </c>
      <c r="T86" s="80">
        <f t="shared" ref="T86:T89" si="30">+H86/$T$83</f>
        <v>4.0381372234868353E-2</v>
      </c>
      <c r="U86" s="73"/>
      <c r="V86" s="73"/>
      <c r="W86" s="74"/>
    </row>
    <row r="87" spans="1:23" x14ac:dyDescent="0.25">
      <c r="A87" s="25" t="s">
        <v>13</v>
      </c>
      <c r="B87" s="46"/>
      <c r="C87" s="46"/>
      <c r="D87" s="46"/>
      <c r="E87" s="46"/>
      <c r="F87" s="60"/>
      <c r="G87" s="75">
        <f>394374+140511+142992+101411</f>
        <v>779288</v>
      </c>
      <c r="H87" s="79">
        <f>264043+98690+129410+91200</f>
        <v>583343</v>
      </c>
      <c r="I87" s="60"/>
      <c r="J87" s="60"/>
      <c r="K87" s="52"/>
      <c r="M87" s="25" t="s">
        <v>13</v>
      </c>
      <c r="N87" s="48"/>
      <c r="O87" s="48"/>
      <c r="P87" s="48"/>
      <c r="Q87" s="72"/>
      <c r="R87" s="73">
        <f t="shared" ref="R87:R89" si="31">+F87/$R$83</f>
        <v>0</v>
      </c>
      <c r="S87" s="77">
        <f t="shared" si="29"/>
        <v>0.39322887100249426</v>
      </c>
      <c r="T87" s="80">
        <f t="shared" si="30"/>
        <v>0.16169817973369582</v>
      </c>
      <c r="U87" s="73">
        <f t="shared" si="28"/>
        <v>0</v>
      </c>
      <c r="V87" s="73">
        <f t="shared" ref="V87:V89" si="32">+J87/$V$83</f>
        <v>0</v>
      </c>
      <c r="W87" s="74">
        <f t="shared" ref="W87:W89" si="33">+K87/$W$83</f>
        <v>0</v>
      </c>
    </row>
    <row r="88" spans="1:23" x14ac:dyDescent="0.25">
      <c r="A88" s="25" t="s">
        <v>14</v>
      </c>
      <c r="B88" s="46"/>
      <c r="C88" s="46"/>
      <c r="D88" s="46"/>
      <c r="E88" s="46"/>
      <c r="F88" s="60"/>
      <c r="G88" s="75">
        <v>526393</v>
      </c>
      <c r="H88" s="75">
        <f>324892+436165+227505</f>
        <v>988562</v>
      </c>
      <c r="I88" s="79">
        <f>462960+240315+344710+195080</f>
        <v>1243065</v>
      </c>
      <c r="J88" s="60"/>
      <c r="K88" s="52"/>
      <c r="M88" s="25" t="s">
        <v>14</v>
      </c>
      <c r="N88" s="48"/>
      <c r="O88" s="48"/>
      <c r="P88" s="48"/>
      <c r="Q88" s="72"/>
      <c r="R88" s="73">
        <f t="shared" si="31"/>
        <v>0</v>
      </c>
      <c r="S88" s="77">
        <f t="shared" si="29"/>
        <v>0.26561800655677481</v>
      </c>
      <c r="T88" s="77">
        <f t="shared" si="30"/>
        <v>0.27402176070322576</v>
      </c>
      <c r="U88" s="80">
        <f t="shared" si="28"/>
        <v>0.61801260918439027</v>
      </c>
      <c r="V88" s="73">
        <f t="shared" si="32"/>
        <v>0</v>
      </c>
      <c r="W88" s="74">
        <f t="shared" si="33"/>
        <v>0</v>
      </c>
    </row>
    <row r="89" spans="1:23" s="85" customFormat="1" x14ac:dyDescent="0.25">
      <c r="A89" s="81" t="s">
        <v>15</v>
      </c>
      <c r="B89" s="82"/>
      <c r="C89" s="82"/>
      <c r="D89" s="82"/>
      <c r="E89" s="82"/>
      <c r="F89" s="83"/>
      <c r="G89" s="83"/>
      <c r="H89" s="76">
        <f>352195+520245+112930+281205+182845+334975+14540+56180+34340</f>
        <v>1889455</v>
      </c>
      <c r="I89" s="78">
        <f>214365+324585+54955+77805+96240</f>
        <v>767950</v>
      </c>
      <c r="J89" s="78">
        <f>151700+30145</f>
        <v>181845</v>
      </c>
      <c r="K89" s="84"/>
      <c r="M89" s="25" t="s">
        <v>15</v>
      </c>
      <c r="N89" s="86"/>
      <c r="O89" s="86"/>
      <c r="P89" s="86"/>
      <c r="Q89" s="72"/>
      <c r="R89" s="73">
        <f t="shared" si="31"/>
        <v>0</v>
      </c>
      <c r="S89" s="73">
        <f t="shared" si="29"/>
        <v>0</v>
      </c>
      <c r="T89" s="77">
        <f t="shared" si="30"/>
        <v>0.52374235087886589</v>
      </c>
      <c r="U89" s="80">
        <f t="shared" si="28"/>
        <v>0.38180045550566749</v>
      </c>
      <c r="V89" s="80">
        <f t="shared" si="32"/>
        <v>0.99790918968753084</v>
      </c>
      <c r="W89" s="74">
        <f t="shared" si="33"/>
        <v>0</v>
      </c>
    </row>
    <row r="90" spans="1:23" s="85" customFormat="1" x14ac:dyDescent="0.25">
      <c r="A90" s="81"/>
      <c r="B90" s="82"/>
      <c r="D90" s="82"/>
      <c r="E90" s="82"/>
      <c r="F90" s="83"/>
      <c r="G90" s="83"/>
      <c r="H90" s="87"/>
      <c r="I90" s="87"/>
      <c r="J90" s="87"/>
      <c r="K90" s="84"/>
      <c r="M90" s="81"/>
      <c r="N90" s="86"/>
      <c r="O90" s="86"/>
      <c r="P90" s="86"/>
      <c r="Q90" s="72"/>
      <c r="R90" s="73"/>
      <c r="S90" s="73"/>
      <c r="T90" s="73"/>
      <c r="U90" s="73"/>
      <c r="V90" s="73"/>
      <c r="W90" s="74"/>
    </row>
    <row r="91" spans="1:23" s="85" customFormat="1" ht="15.75" thickBot="1" x14ac:dyDescent="0.3">
      <c r="A91" s="88"/>
      <c r="B91" s="89"/>
      <c r="C91" s="89"/>
      <c r="D91" s="89"/>
      <c r="E91" s="89"/>
      <c r="F91" s="90"/>
      <c r="G91" s="90"/>
      <c r="H91" s="91"/>
      <c r="I91" s="90"/>
      <c r="J91" s="90"/>
      <c r="K91" s="92"/>
      <c r="M91" s="88"/>
      <c r="N91" s="93"/>
      <c r="O91" s="93"/>
      <c r="P91" s="93"/>
      <c r="Q91" s="94"/>
      <c r="R91" s="95"/>
      <c r="S91" s="95"/>
      <c r="T91" s="95"/>
      <c r="U91" s="95"/>
      <c r="V91" s="95"/>
      <c r="W91" s="96"/>
    </row>
    <row r="92" spans="1:23" hidden="1" x14ac:dyDescent="0.25">
      <c r="A92" s="40" t="s">
        <v>53</v>
      </c>
      <c r="B92" s="41">
        <f t="shared" ref="B92:J92" si="34">SUM(B93:B95)</f>
        <v>833799</v>
      </c>
      <c r="C92" s="41">
        <f t="shared" si="34"/>
        <v>812634</v>
      </c>
      <c r="D92" s="41">
        <f t="shared" si="34"/>
        <v>750642</v>
      </c>
      <c r="E92" s="41">
        <f t="shared" si="34"/>
        <v>1426032</v>
      </c>
      <c r="F92" s="41">
        <f t="shared" si="34"/>
        <v>1404615</v>
      </c>
      <c r="G92" s="41">
        <f t="shared" si="34"/>
        <v>1386439</v>
      </c>
      <c r="H92" s="41">
        <f t="shared" si="34"/>
        <v>1309666</v>
      </c>
      <c r="I92" s="41">
        <f t="shared" si="34"/>
        <v>927040</v>
      </c>
      <c r="J92" s="41">
        <f t="shared" si="34"/>
        <v>808318</v>
      </c>
      <c r="K92" s="41">
        <f>SUM(K93:K95)</f>
        <v>260650</v>
      </c>
      <c r="M92" s="53" t="str">
        <f>+A92</f>
        <v>Total Piezas Engorde</v>
      </c>
      <c r="N92" s="54">
        <f>+B92</f>
        <v>833799</v>
      </c>
      <c r="O92" s="54">
        <f t="shared" ref="O92:T92" si="35">+C92</f>
        <v>812634</v>
      </c>
      <c r="P92" s="54">
        <f t="shared" si="35"/>
        <v>750642</v>
      </c>
      <c r="Q92" s="54">
        <f t="shared" si="35"/>
        <v>1426032</v>
      </c>
      <c r="R92" s="54">
        <f t="shared" si="35"/>
        <v>1404615</v>
      </c>
      <c r="S92" s="54">
        <f t="shared" si="35"/>
        <v>1386439</v>
      </c>
      <c r="T92" s="54">
        <f t="shared" si="35"/>
        <v>1309666</v>
      </c>
      <c r="U92" s="54">
        <f>+I92</f>
        <v>927040</v>
      </c>
      <c r="V92" s="54">
        <f t="shared" ref="V92:W92" si="36">+J92</f>
        <v>808318</v>
      </c>
      <c r="W92" s="54">
        <f t="shared" si="36"/>
        <v>260650</v>
      </c>
    </row>
    <row r="93" spans="1:23" hidden="1" x14ac:dyDescent="0.25">
      <c r="A93" s="25" t="s">
        <v>54</v>
      </c>
      <c r="B93" s="46"/>
      <c r="C93" s="46"/>
      <c r="D93" s="46"/>
      <c r="E93" s="46"/>
      <c r="F93" s="46"/>
      <c r="G93" s="46"/>
      <c r="H93" s="46"/>
      <c r="I93" s="46"/>
      <c r="J93" s="46"/>
      <c r="K93" s="47"/>
      <c r="M93" s="25" t="s">
        <v>54</v>
      </c>
      <c r="N93" s="56">
        <f>+B93/$N$92</f>
        <v>0</v>
      </c>
      <c r="O93" s="56">
        <f>+C93/$O$92</f>
        <v>0</v>
      </c>
      <c r="P93" s="56">
        <f>+D93/$P$92</f>
        <v>0</v>
      </c>
      <c r="Q93" s="56">
        <f>+E93/$Q$92</f>
        <v>0</v>
      </c>
      <c r="R93" s="56">
        <f>+F93/$R$92</f>
        <v>0</v>
      </c>
      <c r="S93" s="56">
        <f>+G93/$S$92</f>
        <v>0</v>
      </c>
      <c r="T93" s="56">
        <f>+H93/$T$92</f>
        <v>0</v>
      </c>
      <c r="U93" s="57">
        <f>+I93/$U$92</f>
        <v>0</v>
      </c>
      <c r="W93" s="18"/>
    </row>
    <row r="94" spans="1:23" hidden="1" x14ac:dyDescent="0.25">
      <c r="A94" s="25" t="s">
        <v>10</v>
      </c>
      <c r="B94" s="46">
        <v>833799</v>
      </c>
      <c r="C94" s="46">
        <v>812634</v>
      </c>
      <c r="D94" s="46">
        <v>750642</v>
      </c>
      <c r="E94" s="46">
        <v>617765</v>
      </c>
      <c r="F94" s="46">
        <v>607693</v>
      </c>
      <c r="G94" s="46">
        <v>606098</v>
      </c>
      <c r="H94" s="46">
        <f>+[3]Produccion!O8+[3]Produccion!O35</f>
        <v>573645</v>
      </c>
      <c r="I94" s="46">
        <f>+[3]Produccion!Q8</f>
        <v>496365</v>
      </c>
      <c r="J94" s="46">
        <f>+[2]Produccion!S8+[2]Produccion!S36</f>
        <v>473882</v>
      </c>
      <c r="K94" s="47">
        <v>260650</v>
      </c>
      <c r="M94" s="25" t="s">
        <v>10</v>
      </c>
      <c r="N94" s="56">
        <f t="shared" ref="N94:N95" si="37">+B94/$N$92</f>
        <v>1</v>
      </c>
      <c r="O94" s="56">
        <f t="shared" ref="O94:O95" si="38">+C94/$C$82</f>
        <v>1</v>
      </c>
      <c r="P94" s="56">
        <f t="shared" ref="P94:P95" si="39">+D94/$P$92</f>
        <v>1</v>
      </c>
      <c r="Q94" s="56">
        <f t="shared" ref="Q94:Q95" si="40">+E94/$Q$92</f>
        <v>0.4332055662145029</v>
      </c>
      <c r="R94" s="56">
        <f t="shared" ref="R94:R95" si="41">+F94/$R$92</f>
        <v>0.43264026085439783</v>
      </c>
      <c r="S94" s="56">
        <f t="shared" ref="S94:S95" si="42">+G94/$S$92</f>
        <v>0.43716167822745899</v>
      </c>
      <c r="T94" s="56">
        <f t="shared" ref="T94:T95" si="43">+H94/$T$92</f>
        <v>0.4380086220456208</v>
      </c>
      <c r="U94" s="56">
        <f>+I94/$U$92</f>
        <v>0.53542997065930276</v>
      </c>
      <c r="W94" s="18"/>
    </row>
    <row r="95" spans="1:23" ht="15.75" hidden="1" thickBot="1" x14ac:dyDescent="0.3">
      <c r="A95" s="26" t="s">
        <v>11</v>
      </c>
      <c r="B95" s="61"/>
      <c r="C95" s="61"/>
      <c r="D95" s="61"/>
      <c r="E95" s="61">
        <v>808267</v>
      </c>
      <c r="F95" s="61">
        <v>796922</v>
      </c>
      <c r="G95" s="61">
        <v>780341</v>
      </c>
      <c r="H95" s="61">
        <v>736021</v>
      </c>
      <c r="I95" s="61">
        <f>+[3]Produccion!Q44</f>
        <v>430675</v>
      </c>
      <c r="J95" s="61">
        <f>+[2]Produccion!S45</f>
        <v>334436</v>
      </c>
      <c r="K95" s="97"/>
      <c r="M95" s="26" t="s">
        <v>11</v>
      </c>
      <c r="N95" s="63">
        <f t="shared" si="37"/>
        <v>0</v>
      </c>
      <c r="O95" s="63">
        <f t="shared" si="38"/>
        <v>0</v>
      </c>
      <c r="P95" s="63">
        <f t="shared" si="39"/>
        <v>0</v>
      </c>
      <c r="Q95" s="63">
        <f t="shared" si="40"/>
        <v>0.5667944337854971</v>
      </c>
      <c r="R95" s="63">
        <f t="shared" si="41"/>
        <v>0.56735973914560223</v>
      </c>
      <c r="S95" s="63">
        <f t="shared" si="42"/>
        <v>0.56283832177254101</v>
      </c>
      <c r="T95" s="63">
        <f t="shared" si="43"/>
        <v>0.56199137795437926</v>
      </c>
      <c r="U95" s="63">
        <f>+I95/$U$92</f>
        <v>0.4645700293406973</v>
      </c>
      <c r="V95" s="27"/>
      <c r="W95" s="28"/>
    </row>
  </sheetData>
  <mergeCells count="1">
    <mergeCell ref="F21:H21"/>
  </mergeCells>
  <pageMargins left="0.7" right="0.7" top="0.75" bottom="0.75" header="0.3" footer="0.3"/>
  <pageSetup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78"/>
  <sheetViews>
    <sheetView tabSelected="1" workbookViewId="0">
      <selection activeCell="B54" sqref="B54"/>
    </sheetView>
  </sheetViews>
  <sheetFormatPr baseColWidth="10" defaultRowHeight="15" x14ac:dyDescent="0.25"/>
  <cols>
    <col min="1" max="1" width="6.28515625" customWidth="1"/>
    <col min="2" max="2" width="22" bestFit="1" customWidth="1"/>
    <col min="3" max="3" width="5.28515625" customWidth="1"/>
    <col min="4" max="4" width="11" bestFit="1" customWidth="1"/>
    <col min="5" max="5" width="5.28515625" customWidth="1"/>
    <col min="6" max="6" width="11" bestFit="1" customWidth="1"/>
    <col min="7" max="7" width="5.28515625" customWidth="1"/>
    <col min="8" max="8" width="11" bestFit="1" customWidth="1"/>
    <col min="9" max="9" width="5.28515625" customWidth="1"/>
    <col min="10" max="10" width="11" bestFit="1" customWidth="1"/>
    <col min="11" max="11" width="5.28515625" customWidth="1"/>
    <col min="12" max="12" width="11" bestFit="1" customWidth="1"/>
    <col min="13" max="13" width="5.28515625" customWidth="1"/>
    <col min="14" max="14" width="11" bestFit="1" customWidth="1"/>
    <col min="15" max="15" width="5.28515625" customWidth="1"/>
    <col min="16" max="16" width="11" bestFit="1" customWidth="1"/>
    <col min="17" max="17" width="5.28515625" customWidth="1"/>
    <col min="18" max="18" width="11" bestFit="1" customWidth="1"/>
    <col min="19" max="19" width="5.28515625" customWidth="1"/>
    <col min="20" max="20" width="9.42578125" bestFit="1" customWidth="1"/>
    <col min="21" max="21" width="5.28515625" customWidth="1"/>
    <col min="22" max="22" width="9.42578125" bestFit="1" customWidth="1"/>
    <col min="23" max="23" width="5.28515625" customWidth="1"/>
    <col min="24" max="24" width="10.28515625" bestFit="1" customWidth="1"/>
  </cols>
  <sheetData>
    <row r="2" spans="2:24" x14ac:dyDescent="0.25">
      <c r="B2" t="s">
        <v>56</v>
      </c>
    </row>
    <row r="3" spans="2:24" x14ac:dyDescent="0.25">
      <c r="B3" t="s">
        <v>10</v>
      </c>
    </row>
    <row r="6" spans="2:24" x14ac:dyDescent="0.25">
      <c r="D6" t="s">
        <v>24</v>
      </c>
      <c r="F6" t="s">
        <v>0</v>
      </c>
      <c r="H6" t="s">
        <v>1</v>
      </c>
      <c r="J6" t="s">
        <v>2</v>
      </c>
      <c r="L6" t="s">
        <v>3</v>
      </c>
      <c r="N6" t="s">
        <v>4</v>
      </c>
      <c r="P6" t="s">
        <v>5</v>
      </c>
      <c r="R6" t="s">
        <v>6</v>
      </c>
      <c r="T6" t="s">
        <v>7</v>
      </c>
      <c r="V6" t="s">
        <v>8</v>
      </c>
      <c r="X6" t="s">
        <v>9</v>
      </c>
    </row>
    <row r="7" spans="2:24" x14ac:dyDescent="0.25">
      <c r="D7" s="5">
        <v>1</v>
      </c>
      <c r="E7" s="5"/>
      <c r="F7" s="1">
        <f>INDEX(Datos!$M$70:$W$78,MATCH($B$3,Datos!$M$70:$M$78,0),MATCH(F$6,Datos!$M$62:$W$62,0))</f>
        <v>1</v>
      </c>
      <c r="G7" s="1"/>
      <c r="H7" s="1">
        <f>INDEX(Datos!$M$70:$W$78,MATCH($B$3,Datos!$M$70:$M$78,0),MATCH(H$6,Datos!$M$62:$W$62,0))</f>
        <v>1</v>
      </c>
      <c r="I7" s="1"/>
      <c r="J7" s="1">
        <f>INDEX(Datos!$M$70:$W$78,MATCH($B$3,Datos!$M$70:$M$78,0),MATCH(J$6,Datos!$M$62:$W$62,0))</f>
        <v>1</v>
      </c>
      <c r="K7" s="1"/>
      <c r="L7" s="1">
        <f>INDEX(Datos!$M$70:$W$78,MATCH($B$3,Datos!$M$70:$M$78,0),MATCH(L$6,Datos!$M$62:$W$62,0))</f>
        <v>0.4332055662145029</v>
      </c>
      <c r="M7" s="1"/>
      <c r="N7" s="1">
        <f>INDEX(Datos!$M$70:$W$78,MATCH($B$3,Datos!$M$70:$M$78,0),MATCH(N$6,Datos!$M$62:$W$62,0))</f>
        <v>0.43264026085439783</v>
      </c>
      <c r="O7" s="1"/>
      <c r="P7" s="1">
        <f>INDEX(Datos!$M$70:$W$78,MATCH($B$3,Datos!$M$70:$M$78,0),MATCH(P$6,Datos!$M$62:$W$62,0))</f>
        <v>0.43716167822745899</v>
      </c>
      <c r="Q7" s="1"/>
      <c r="R7" s="1">
        <f>INDEX(Datos!$M$70:$W$78,MATCH($B$3,Datos!$M$70:$M$78,0),MATCH(R$6,Datos!$M$62:$W$62,0))</f>
        <v>0.4380086220456208</v>
      </c>
      <c r="S7" s="1"/>
      <c r="T7" s="1">
        <f>INDEX(Datos!$M$70:$W$78,MATCH($B$3,Datos!$M$70:$M$78,0),MATCH(T$6,Datos!$M$62:$W$62,0))</f>
        <v>0.35330093289396042</v>
      </c>
      <c r="U7" s="1"/>
      <c r="V7" s="1">
        <f>INDEX(Datos!$M$70:$W$78,MATCH($B$3,Datos!$M$70:$M$78,0),MATCH(V$6,Datos!$M$62:$W$62,0))</f>
        <v>0.21216301221136519</v>
      </c>
      <c r="W7" s="1"/>
      <c r="X7" s="1">
        <f>INDEX(Datos!$M$70:$W$78,MATCH($B$3,Datos!$M$70:$M$78,0),MATCH(X$6,Datos!$M$62:$W$62,0))</f>
        <v>7.9046528730752033E-2</v>
      </c>
    </row>
    <row r="9" spans="2:24" x14ac:dyDescent="0.25">
      <c r="B9" s="3" t="s">
        <v>59</v>
      </c>
      <c r="C9" s="2"/>
      <c r="D9" s="1"/>
      <c r="E9" s="1"/>
    </row>
    <row r="10" spans="2:24" x14ac:dyDescent="0.25">
      <c r="B10" s="139">
        <f>IFERROR(INDEX(cuentas,ROW(B1)),"")</f>
        <v>1</v>
      </c>
      <c r="C10" s="1" t="str">
        <f>IF($B$2="Engorde",INDEX(Datos!$F$21:$T$59,MATCH($B10,Datos!$F$21:$F$59,0),MATCH(D$6,Datos!$F$21:$T$21,0)),"")</f>
        <v/>
      </c>
      <c r="D10" s="102">
        <f>('Reporte AN'!D30*D$7)</f>
        <v>2500000</v>
      </c>
      <c r="E10" s="1" t="str">
        <f>IF($B$2="Engorde",INDEX(Datos!$F$21:$T$59,MATCH($B10,Datos!$F$21:$F$59,0),MATCH(F$6,Datos!$F$21:$T$21,0)),"")</f>
        <v/>
      </c>
      <c r="F10" s="102">
        <f>('Reporte AN'!E30*F$7)</f>
        <v>2500000</v>
      </c>
      <c r="G10" s="1" t="str">
        <f>IF($B$2="Engorde",INDEX(Datos!$F$21:$T$59,MATCH($B10,Datos!$F$21:$F$59,0),MATCH(H$6,Datos!$F$21:$T$21,0)),"")</f>
        <v/>
      </c>
      <c r="H10" s="102">
        <f>('Reporte AN'!F30*H$7)</f>
        <v>2500000</v>
      </c>
      <c r="I10" s="1" t="str">
        <f>IF($B$2="Engorde",INDEX(Datos!$F$21:$T$59,MATCH($B10,Datos!$F$21:$F$59,0),MATCH(J$6,Datos!$F$21:$T$21,0)),"")</f>
        <v/>
      </c>
      <c r="J10" s="102">
        <f>('Reporte AN'!G30*J$7)</f>
        <v>2500000</v>
      </c>
      <c r="K10" s="1" t="str">
        <f>IF($B$2="Engorde",INDEX(Datos!$F$21:$T$59,MATCH($B10,Datos!$F$21:$F$59,0),MATCH(L$6,Datos!$F$21:$T$21,0)),"")</f>
        <v/>
      </c>
      <c r="L10" s="102">
        <f>('Reporte AN'!H30*L$7)</f>
        <v>1083013.9155362572</v>
      </c>
      <c r="M10" s="1" t="str">
        <f>IF($B$2="Engorde",INDEX(Datos!$F$21:$T$59,MATCH($B10,Datos!$F$21:$F$59,0),MATCH(N$6,Datos!$F$21:$T$21,0)),"")</f>
        <v/>
      </c>
      <c r="N10" s="102">
        <f>('Reporte AN'!I30*N$7)</f>
        <v>1081600.6521359945</v>
      </c>
      <c r="O10" s="1" t="str">
        <f>IF($B$2="Engorde",INDEX(Datos!$F$21:$T$59,MATCH($B10,Datos!$F$21:$F$59,0),MATCH(P$6,Datos!$F$21:$T$21,0)),"")</f>
        <v/>
      </c>
      <c r="P10" s="102">
        <f>('Reporte AN'!J30*P$7)</f>
        <v>1092904.1955686475</v>
      </c>
      <c r="Q10" s="1" t="str">
        <f>IF($B$2="Engorde",INDEX(Datos!$F$21:$T$59,MATCH($B10,Datos!$F$21:$F$59,0),MATCH(R$6,Datos!$F$21:$T$21,0)),"")</f>
        <v/>
      </c>
      <c r="R10" s="102">
        <f>('Reporte AN'!K30*R$7)</f>
        <v>1095021.555114052</v>
      </c>
      <c r="S10" s="1" t="str">
        <f>IF($B$2="Engorde",INDEX(Datos!$F$21:$T$59,MATCH($B10,Datos!$F$21:$F$59,0),MATCH(T$6,Datos!$F$21:$T$21,0)),"")</f>
        <v/>
      </c>
      <c r="T10" s="102">
        <f>('Reporte AN'!L30*T$7)</f>
        <v>883252.33223490103</v>
      </c>
      <c r="U10" s="1" t="str">
        <f>IF($B$2="Engorde",INDEX(Datos!$F$21:$T$59,MATCH($B10,Datos!$F$21:$F$59,0),MATCH(V$6,Datos!$F$21:$T$21,0)),"")</f>
        <v/>
      </c>
      <c r="V10" s="102">
        <f>('Reporte AN'!M30*V$7)</f>
        <v>530407.53052841302</v>
      </c>
      <c r="W10" s="1" t="str">
        <f>IF($B$2="Engorde",INDEX(Datos!$F$21:$T$59,MATCH($B10,Datos!$F$21:$F$59,0),MATCH(X$6,Datos!$F$21:$T$21,0)),"")</f>
        <v/>
      </c>
      <c r="X10" s="102">
        <f>('Reporte AN'!N30*X$7)</f>
        <v>197616.32182688007</v>
      </c>
    </row>
    <row r="11" spans="2:24" x14ac:dyDescent="0.25">
      <c r="B11" s="139">
        <f>IFERROR(INDEX(cuentas,ROW(B2)),"")</f>
        <v>2</v>
      </c>
      <c r="C11" s="1" t="str">
        <f>IF($B$2="Engorde",INDEX(Datos!$F$21:$T$59,MATCH($B11,Datos!$F$21:$F$59,0),MATCH(D$6,Datos!$F$21:$T$21,0)),"")</f>
        <v/>
      </c>
      <c r="D11" s="102">
        <f>('Reporte AN'!D31*D$7)</f>
        <v>0</v>
      </c>
      <c r="E11" s="1" t="str">
        <f>IF($B$2="Engorde",INDEX(Datos!$F$21:$T$59,MATCH($B11,Datos!$F$21:$F$59,0),MATCH(F$6,Datos!$F$21:$T$21,0)),"")</f>
        <v/>
      </c>
      <c r="F11" s="102">
        <f>('Reporte AN'!E31*F$7)</f>
        <v>0</v>
      </c>
      <c r="G11" s="1" t="str">
        <f>IF($B$2="Engorde",INDEX(Datos!$F$21:$T$59,MATCH($B11,Datos!$F$21:$F$59,0),MATCH(H$6,Datos!$F$21:$T$21,0)),"")</f>
        <v/>
      </c>
      <c r="H11" s="102">
        <f>('Reporte AN'!F31*H$7)</f>
        <v>186751</v>
      </c>
      <c r="I11" s="1" t="str">
        <f>IF($B$2="Engorde",INDEX(Datos!$F$21:$T$59,MATCH($B11,Datos!$F$21:$F$59,0),MATCH(J$6,Datos!$F$21:$T$21,0)),"")</f>
        <v/>
      </c>
      <c r="J11" s="102">
        <f>('Reporte AN'!G31*J$7)</f>
        <v>186752</v>
      </c>
      <c r="K11" s="1" t="str">
        <f>IF($B$2="Engorde",INDEX(Datos!$F$21:$T$59,MATCH($B11,Datos!$F$21:$F$59,0),MATCH(L$6,Datos!$F$21:$T$21,0)),"")</f>
        <v/>
      </c>
      <c r="L11" s="102">
        <f>('Reporte AN'!H31*L$7)</f>
        <v>142450.98633831498</v>
      </c>
      <c r="M11" s="1" t="str">
        <f>IF($B$2="Engorde",INDEX(Datos!$F$21:$T$59,MATCH($B11,Datos!$F$21:$F$59,0),MATCH(N$6,Datos!$F$21:$T$21,0)),"")</f>
        <v/>
      </c>
      <c r="N11" s="102">
        <f>('Reporte AN'!I31*N$7)</f>
        <v>142264.88065662122</v>
      </c>
      <c r="O11" s="1" t="str">
        <f>IF($B$2="Engorde",INDEX(Datos!$F$21:$T$59,MATCH($B11,Datos!$F$21:$F$59,0),MATCH(P$6,Datos!$F$21:$T$21,0)),"")</f>
        <v/>
      </c>
      <c r="P11" s="102">
        <f>('Reporte AN'!J31*P$7)</f>
        <v>425723.34291663754</v>
      </c>
      <c r="Q11" s="1" t="str">
        <f>IF($B$2="Engorde",INDEX(Datos!$F$21:$T$59,MATCH($B11,Datos!$F$21:$F$59,0),MATCH(R$6,Datos!$F$21:$T$21,0)),"")</f>
        <v/>
      </c>
      <c r="R11" s="102">
        <f>('Reporte AN'!K31*R$7)</f>
        <v>426548.12644979713</v>
      </c>
      <c r="S11" s="1" t="str">
        <f>IF($B$2="Engorde",INDEX(Datos!$F$21:$T$59,MATCH($B11,Datos!$F$21:$F$59,0),MATCH(T$6,Datos!$F$21:$T$21,0)),"")</f>
        <v/>
      </c>
      <c r="T11" s="102">
        <f>('Reporte AN'!L31*T$7)</f>
        <v>611589.70580754674</v>
      </c>
      <c r="U11" s="1" t="str">
        <f>IF($B$2="Engorde",INDEX(Datos!$F$21:$T$59,MATCH($B11,Datos!$F$21:$F$59,0),MATCH(V$6,Datos!$F$21:$T$21,0)),"")</f>
        <v/>
      </c>
      <c r="V11" s="102">
        <f>('Reporte AN'!M31*V$7)</f>
        <v>367269.66203776456</v>
      </c>
      <c r="W11" s="1" t="str">
        <f>IF($B$2="Engorde",INDEX(Datos!$F$21:$T$59,MATCH($B11,Datos!$F$21:$F$59,0),MATCH(X$6,Datos!$F$21:$T$21,0)),"")</f>
        <v/>
      </c>
      <c r="X11" s="102">
        <f>('Reporte AN'!N31*X$7)</f>
        <v>136835.31162952911</v>
      </c>
    </row>
    <row r="12" spans="2:24" x14ac:dyDescent="0.25">
      <c r="B12" s="139">
        <f>IFERROR(INDEX(cuentas,ROW(B3)),"")</f>
        <v>3</v>
      </c>
      <c r="C12" s="1" t="str">
        <f>IF($B$2="Engorde",INDEX(Datos!$F$21:$T$59,MATCH($B12,Datos!$F$21:$F$59,0),MATCH(D$6,Datos!$F$21:$T$21,0)),"")</f>
        <v/>
      </c>
      <c r="D12" s="102">
        <f>('Reporte AN'!D32*D$7)</f>
        <v>0</v>
      </c>
      <c r="E12" s="1" t="str">
        <f>IF($B$2="Engorde",INDEX(Datos!$F$21:$T$59,MATCH($B12,Datos!$F$21:$F$59,0),MATCH(F$6,Datos!$F$21:$T$21,0)),"")</f>
        <v/>
      </c>
      <c r="F12" s="102">
        <f>('Reporte AN'!E32*F$7)</f>
        <v>28310</v>
      </c>
      <c r="G12" s="1" t="str">
        <f>IF($B$2="Engorde",INDEX(Datos!$F$21:$T$59,MATCH($B12,Datos!$F$21:$F$59,0),MATCH(H$6,Datos!$F$21:$T$21,0)),"")</f>
        <v/>
      </c>
      <c r="H12" s="102">
        <f>('Reporte AN'!F32*H$7)</f>
        <v>28338</v>
      </c>
      <c r="I12" s="1" t="str">
        <f>IF($B$2="Engorde",INDEX(Datos!$F$21:$T$59,MATCH($B12,Datos!$F$21:$F$59,0),MATCH(J$6,Datos!$F$21:$T$21,0)),"")</f>
        <v/>
      </c>
      <c r="J12" s="102">
        <f>('Reporte AN'!G32*J$7)</f>
        <v>28464</v>
      </c>
      <c r="K12" s="1" t="str">
        <f>IF($B$2="Engorde",INDEX(Datos!$F$21:$T$59,MATCH($B12,Datos!$F$21:$F$59,0),MATCH(L$6,Datos!$F$21:$T$21,0)),"")</f>
        <v/>
      </c>
      <c r="L12" s="102">
        <f>('Reporte AN'!H32*L$7)</f>
        <v>12388.379577036139</v>
      </c>
      <c r="M12" s="1" t="str">
        <f>IF($B$2="Engorde",INDEX(Datos!$F$21:$T$59,MATCH($B12,Datos!$F$21:$F$59,0),MATCH(N$6,Datos!$F$21:$T$21,0)),"")</f>
        <v/>
      </c>
      <c r="N12" s="102">
        <f>('Reporte AN'!I32*N$7)</f>
        <v>12412.881724173529</v>
      </c>
      <c r="O12" s="1" t="str">
        <f>IF($B$2="Engorde",INDEX(Datos!$F$21:$T$59,MATCH($B12,Datos!$F$21:$F$59,0),MATCH(P$6,Datos!$F$21:$T$21,0)),"")</f>
        <v/>
      </c>
      <c r="P12" s="102">
        <f>('Reporte AN'!J32*P$7)</f>
        <v>12553.534751979712</v>
      </c>
      <c r="Q12" s="1" t="str">
        <f>IF($B$2="Engorde",INDEX(Datos!$F$21:$T$59,MATCH($B12,Datos!$F$21:$F$59,0),MATCH(R$6,Datos!$F$21:$T$21,0)),"")</f>
        <v/>
      </c>
      <c r="R12" s="102">
        <f>('Reporte AN'!K32*R$7)</f>
        <v>12569.095418221135</v>
      </c>
      <c r="S12" s="1" t="str">
        <f>IF($B$2="Engorde",INDEX(Datos!$F$21:$T$59,MATCH($B12,Datos!$F$21:$F$59,0),MATCH(T$6,Datos!$F$21:$T$21,0)),"")</f>
        <v/>
      </c>
      <c r="T12" s="102">
        <f>('Reporte AN'!L32*T$7)</f>
        <v>10128.233295681635</v>
      </c>
      <c r="U12" s="1" t="str">
        <f>IF($B$2="Engorde",INDEX(Datos!$F$21:$T$59,MATCH($B12,Datos!$F$21:$F$59,0),MATCH(V$6,Datos!$F$21:$T$21,0)),"")</f>
        <v/>
      </c>
      <c r="V12" s="102">
        <f>('Reporte AN'!M32*V$7)</f>
        <v>6084.7185005652373</v>
      </c>
      <c r="W12" s="1" t="str">
        <f>IF($B$2="Engorde",INDEX(Datos!$F$21:$T$59,MATCH($B12,Datos!$F$21:$F$59,0),MATCH(X$6,Datos!$F$21:$T$21,0)),"")</f>
        <v/>
      </c>
      <c r="X12" s="102">
        <f>('Reporte AN'!N32*X$7)</f>
        <v>2269.2558898231196</v>
      </c>
    </row>
    <row r="13" spans="2:24" x14ac:dyDescent="0.25">
      <c r="B13" s="139">
        <f>IFERROR(INDEX(cuentas,ROW(B4)),"")</f>
        <v>4</v>
      </c>
      <c r="C13" s="1" t="str">
        <f>IF($B$2="Engorde",INDEX(Datos!$F$21:$T$59,MATCH($B13,Datos!$F$21:$F$59,0),MATCH(D$6,Datos!$F$21:$T$21,0)),"")</f>
        <v/>
      </c>
      <c r="D13" s="102">
        <f>('Reporte AN'!D33*D$7)</f>
        <v>0</v>
      </c>
      <c r="E13" s="1" t="str">
        <f>IF($B$2="Engorde",INDEX(Datos!$F$21:$T$59,MATCH($B13,Datos!$F$21:$F$59,0),MATCH(F$6,Datos!$F$21:$T$21,0)),"")</f>
        <v/>
      </c>
      <c r="F13" s="102">
        <f>('Reporte AN'!E33*F$7)</f>
        <v>887904.5</v>
      </c>
      <c r="G13" s="1" t="str">
        <f>IF($B$2="Engorde",INDEX(Datos!$F$21:$T$59,MATCH($B13,Datos!$F$21:$F$59,0),MATCH(H$6,Datos!$F$21:$T$21,0)),"")</f>
        <v/>
      </c>
      <c r="H13" s="102">
        <f>('Reporte AN'!F33*H$7)</f>
        <v>2043652.5</v>
      </c>
      <c r="I13" s="1" t="str">
        <f>IF($B$2="Engorde",INDEX(Datos!$F$21:$T$59,MATCH($B13,Datos!$F$21:$F$59,0),MATCH(J$6,Datos!$F$21:$T$21,0)),"")</f>
        <v/>
      </c>
      <c r="J13" s="102">
        <f>('Reporte AN'!G33*J$7)</f>
        <v>2071938.5</v>
      </c>
      <c r="K13" s="1" t="str">
        <f>IF($B$2="Engorde",INDEX(Datos!$F$21:$T$59,MATCH($B13,Datos!$F$21:$F$59,0),MATCH(L$6,Datos!$F$21:$T$21,0)),"")</f>
        <v/>
      </c>
      <c r="L13" s="102">
        <f>('Reporte AN'!H33*L$7)</f>
        <v>679091.52937837294</v>
      </c>
      <c r="M13" s="1" t="str">
        <f>IF($B$2="Engorde",INDEX(Datos!$F$21:$T$59,MATCH($B13,Datos!$F$21:$F$59,0),MATCH(N$6,Datos!$F$21:$T$21,0)),"")</f>
        <v/>
      </c>
      <c r="N13" s="102">
        <f>('Reporte AN'!I33*N$7)</f>
        <v>678205.358674441</v>
      </c>
      <c r="O13" s="1" t="str">
        <f>IF($B$2="Engorde",INDEX(Datos!$F$21:$T$59,MATCH($B13,Datos!$F$21:$F$59,0),MATCH(P$6,Datos!$F$21:$T$21,0)),"")</f>
        <v/>
      </c>
      <c r="P13" s="102">
        <f>('Reporte AN'!J33*P$7)</f>
        <v>713987.53495898482</v>
      </c>
      <c r="Q13" s="1" t="str">
        <f>IF($B$2="Engorde",INDEX(Datos!$F$21:$T$59,MATCH($B13,Datos!$F$21:$F$59,0),MATCH(R$6,Datos!$F$21:$T$21,0)),"")</f>
        <v/>
      </c>
      <c r="R13" s="102">
        <f>('Reporte AN'!K33*R$7)</f>
        <v>686620.78288853797</v>
      </c>
      <c r="S13" s="1" t="str">
        <f>IF($B$2="Engorde",INDEX(Datos!$F$21:$T$59,MATCH($B13,Datos!$F$21:$F$59,0),MATCH(T$6,Datos!$F$21:$T$21,0)),"")</f>
        <v/>
      </c>
      <c r="T13" s="102">
        <f>('Reporte AN'!L33*T$7)</f>
        <v>679502.09438075603</v>
      </c>
      <c r="U13" s="1" t="str">
        <f>IF($B$2="Engorde",INDEX(Datos!$F$21:$T$59,MATCH($B13,Datos!$F$21:$F$59,0),MATCH(V$6,Datos!$F$21:$T$21,0)),"")</f>
        <v/>
      </c>
      <c r="V13" s="102">
        <f>('Reporte AN'!M33*V$7)</f>
        <v>399351.25544026954</v>
      </c>
      <c r="W13" s="1" t="str">
        <f>IF($B$2="Engorde",INDEX(Datos!$F$21:$T$59,MATCH($B13,Datos!$F$21:$F$59,0),MATCH(X$6,Datos!$F$21:$T$21,0)),"")</f>
        <v/>
      </c>
      <c r="X13" s="102">
        <f>('Reporte AN'!N33*X$7)</f>
        <v>152192.98503377638</v>
      </c>
    </row>
    <row r="14" spans="2:24" x14ac:dyDescent="0.25">
      <c r="B14" s="139">
        <f>IFERROR(INDEX(cuentas,ROW(B5)),"")</f>
        <v>5</v>
      </c>
      <c r="C14" s="1" t="str">
        <f>IF($B$2="Engorde",INDEX(Datos!$F$21:$T$59,MATCH($B14,Datos!$F$21:$F$59,0),MATCH(D$6,Datos!$F$21:$T$21,0)),"")</f>
        <v/>
      </c>
      <c r="D14" s="102">
        <f>('Reporte AN'!D34*D$7)</f>
        <v>8980</v>
      </c>
      <c r="E14" s="1" t="str">
        <f>IF($B$2="Engorde",INDEX(Datos!$F$21:$T$59,MATCH($B14,Datos!$F$21:$F$59,0),MATCH(F$6,Datos!$F$21:$T$21,0)),"")</f>
        <v/>
      </c>
      <c r="F14" s="102">
        <f>('Reporte AN'!E34*F$7)</f>
        <v>39269</v>
      </c>
      <c r="G14" s="1" t="str">
        <f>IF($B$2="Engorde",INDEX(Datos!$F$21:$T$59,MATCH($B14,Datos!$F$21:$F$59,0),MATCH(H$6,Datos!$F$21:$T$21,0)),"")</f>
        <v/>
      </c>
      <c r="H14" s="102">
        <f>('Reporte AN'!F34*H$7)</f>
        <v>10461</v>
      </c>
      <c r="I14" s="1" t="str">
        <f>IF($B$2="Engorde",INDEX(Datos!$F$21:$T$59,MATCH($B14,Datos!$F$21:$F$59,0),MATCH(J$6,Datos!$F$21:$T$21,0)),"")</f>
        <v/>
      </c>
      <c r="J14" s="102">
        <f>('Reporte AN'!G34*J$7)</f>
        <v>49787</v>
      </c>
      <c r="K14" s="1" t="str">
        <f>IF($B$2="Engorde",INDEX(Datos!$F$21:$T$59,MATCH($B14,Datos!$F$21:$F$59,0),MATCH(L$6,Datos!$F$21:$T$21,0)),"")</f>
        <v/>
      </c>
      <c r="L14" s="102">
        <f>('Reporte AN'!H34*L$7)</f>
        <v>26865.676394358612</v>
      </c>
      <c r="M14" s="1" t="str">
        <f>IF($B$2="Engorde",INDEX(Datos!$F$21:$T$59,MATCH($B14,Datos!$F$21:$F$59,0),MATCH(N$6,Datos!$F$21:$T$21,0)),"")</f>
        <v/>
      </c>
      <c r="N14" s="102">
        <f>('Reporte AN'!I34*N$7)</f>
        <v>56288.228498200573</v>
      </c>
      <c r="O14" s="1" t="str">
        <f>IF($B$2="Engorde",INDEX(Datos!$F$21:$T$59,MATCH($B14,Datos!$F$21:$F$59,0),MATCH(P$6,Datos!$F$21:$T$21,0)),"")</f>
        <v/>
      </c>
      <c r="P14" s="102">
        <f>('Reporte AN'!J34*P$7)</f>
        <v>57911.244676469723</v>
      </c>
      <c r="Q14" s="1" t="str">
        <f>IF($B$2="Engorde",INDEX(Datos!$F$21:$T$59,MATCH($B14,Datos!$F$21:$F$59,0),MATCH(R$6,Datos!$F$21:$T$21,0)),"")</f>
        <v/>
      </c>
      <c r="R14" s="102">
        <f>('Reporte AN'!K34*R$7)</f>
        <v>8079.9450508755672</v>
      </c>
      <c r="S14" s="1" t="str">
        <f>IF($B$2="Engorde",INDEX(Datos!$F$21:$T$59,MATCH($B14,Datos!$F$21:$F$59,0),MATCH(T$6,Datos!$F$21:$T$21,0)),"")</f>
        <v/>
      </c>
      <c r="T14" s="102">
        <f>('Reporte AN'!L34*T$7)</f>
        <v>56481.160238958772</v>
      </c>
      <c r="U14" s="1" t="str">
        <f>IF($B$2="Engorde",INDEX(Datos!$F$21:$T$59,MATCH($B14,Datos!$F$21:$F$59,0),MATCH(V$6,Datos!$F$21:$T$21,0)),"")</f>
        <v/>
      </c>
      <c r="V14" s="102">
        <f>('Reporte AN'!M34*V$7)</f>
        <v>24463.456123031461</v>
      </c>
      <c r="W14" s="1" t="str">
        <f>IF($B$2="Engorde",INDEX(Datos!$F$21:$T$59,MATCH($B14,Datos!$F$21:$F$59,0),MATCH(X$6,Datos!$F$21:$T$21,0)),"")</f>
        <v/>
      </c>
      <c r="X14" s="102">
        <f>('Reporte AN'!N34*X$7)</f>
        <v>8672.9851323381135</v>
      </c>
    </row>
    <row r="15" spans="2:24" x14ac:dyDescent="0.25">
      <c r="B15" s="139">
        <f>IFERROR(INDEX(cuentas,ROW(B6)),"")</f>
        <v>6</v>
      </c>
      <c r="C15" s="1" t="str">
        <f>IF($B$2="Engorde",INDEX(Datos!$F$21:$T$59,MATCH($B15,Datos!$F$21:$F$59,0),MATCH(D$6,Datos!$F$21:$T$21,0)),"")</f>
        <v/>
      </c>
      <c r="D15" s="102">
        <f>('Reporte AN'!D35*D$7)</f>
        <v>0</v>
      </c>
      <c r="E15" s="1" t="str">
        <f>IF($B$2="Engorde",INDEX(Datos!$F$21:$T$59,MATCH($B15,Datos!$F$21:$F$59,0),MATCH(F$6,Datos!$F$21:$T$21,0)),"")</f>
        <v/>
      </c>
      <c r="F15" s="102">
        <f>('Reporte AN'!E35*F$7)</f>
        <v>663422</v>
      </c>
      <c r="G15" s="1" t="str">
        <f>IF($B$2="Engorde",INDEX(Datos!$F$21:$T$59,MATCH($B15,Datos!$F$21:$F$59,0),MATCH(H$6,Datos!$F$21:$T$21,0)),"")</f>
        <v/>
      </c>
      <c r="H15" s="102">
        <f>('Reporte AN'!F35*H$7)</f>
        <v>0</v>
      </c>
      <c r="I15" s="1" t="str">
        <f>IF($B$2="Engorde",INDEX(Datos!$F$21:$T$59,MATCH($B15,Datos!$F$21:$F$59,0),MATCH(J$6,Datos!$F$21:$T$21,0)),"")</f>
        <v/>
      </c>
      <c r="J15" s="102">
        <f>('Reporte AN'!G35*J$7)</f>
        <v>0</v>
      </c>
      <c r="K15" s="1" t="str">
        <f>IF($B$2="Engorde",INDEX(Datos!$F$21:$T$59,MATCH($B15,Datos!$F$21:$F$59,0),MATCH(L$6,Datos!$F$21:$T$21,0)),"")</f>
        <v/>
      </c>
      <c r="L15" s="102">
        <f>('Reporte AN'!H35*L$7)</f>
        <v>492303.03635191917</v>
      </c>
      <c r="M15" s="1" t="str">
        <f>IF($B$2="Engorde",INDEX(Datos!$F$21:$T$59,MATCH($B15,Datos!$F$21:$F$59,0),MATCH(N$6,Datos!$F$21:$T$21,0)),"")</f>
        <v/>
      </c>
      <c r="N15" s="102">
        <f>('Reporte AN'!I35*N$7)</f>
        <v>350800.2985501365</v>
      </c>
      <c r="O15" s="1" t="str">
        <f>IF($B$2="Engorde",INDEX(Datos!$F$21:$T$59,MATCH($B15,Datos!$F$21:$F$59,0),MATCH(P$6,Datos!$F$21:$T$21,0)),"")</f>
        <v/>
      </c>
      <c r="P15" s="102">
        <f>('Reporte AN'!J35*P$7)</f>
        <v>24918.215658965164</v>
      </c>
      <c r="Q15" s="1" t="str">
        <f>IF($B$2="Engorde",INDEX(Datos!$F$21:$T$59,MATCH($B15,Datos!$F$21:$F$59,0),MATCH(R$6,Datos!$F$21:$T$21,0)),"")</f>
        <v/>
      </c>
      <c r="R15" s="102">
        <f>('Reporte AN'!K35*R$7)</f>
        <v>323449.21898407687</v>
      </c>
      <c r="S15" s="1" t="str">
        <f>IF($B$2="Engorde",INDEX(Datos!$F$21:$T$59,MATCH($B15,Datos!$F$21:$F$59,0),MATCH(T$6,Datos!$F$21:$T$21,0)),"")</f>
        <v/>
      </c>
      <c r="T15" s="102">
        <f>('Reporte AN'!L35*T$7)</f>
        <v>268225.00835029606</v>
      </c>
      <c r="U15" s="1" t="str">
        <f>IF($B$2="Engorde",INDEX(Datos!$F$21:$T$59,MATCH($B15,Datos!$F$21:$F$59,0),MATCH(V$6,Datos!$F$21:$T$21,0)),"")</f>
        <v/>
      </c>
      <c r="V15" s="102">
        <f>('Reporte AN'!M35*V$7)</f>
        <v>0</v>
      </c>
      <c r="W15" s="1" t="str">
        <f>IF($B$2="Engorde",INDEX(Datos!$F$21:$T$59,MATCH($B15,Datos!$F$21:$F$59,0),MATCH(X$6,Datos!$F$21:$T$21,0)),"")</f>
        <v/>
      </c>
      <c r="X15" s="102">
        <f>('Reporte AN'!N35*X$7)</f>
        <v>1304.2677240574085</v>
      </c>
    </row>
    <row r="16" spans="2:24" x14ac:dyDescent="0.25">
      <c r="B16" s="139">
        <f>IFERROR(INDEX(cuentas,ROW(B7)),"")</f>
        <v>7</v>
      </c>
      <c r="C16" s="1" t="str">
        <f>IF($B$2="Engorde",INDEX(Datos!$F$21:$T$59,MATCH($B16,Datos!$F$21:$F$59,0),MATCH(D$6,Datos!$F$21:$T$21,0)),"")</f>
        <v/>
      </c>
      <c r="D16" s="102">
        <f>('Reporte AN'!D36*D$7)</f>
        <v>0</v>
      </c>
      <c r="E16" s="1" t="str">
        <f>IF($B$2="Engorde",INDEX(Datos!$F$21:$T$59,MATCH($B16,Datos!$F$21:$F$59,0),MATCH(F$6,Datos!$F$21:$T$21,0)),"")</f>
        <v/>
      </c>
      <c r="F16" s="102">
        <f>('Reporte AN'!E36*F$7)</f>
        <v>20328</v>
      </c>
      <c r="G16" s="1" t="str">
        <f>IF($B$2="Engorde",INDEX(Datos!$F$21:$T$59,MATCH($B16,Datos!$F$21:$F$59,0),MATCH(H$6,Datos!$F$21:$T$21,0)),"")</f>
        <v/>
      </c>
      <c r="H16" s="102">
        <f>('Reporte AN'!F36*H$7)</f>
        <v>18739</v>
      </c>
      <c r="I16" s="1" t="str">
        <f>IF($B$2="Engorde",INDEX(Datos!$F$21:$T$59,MATCH($B16,Datos!$F$21:$F$59,0),MATCH(J$6,Datos!$F$21:$T$21,0)),"")</f>
        <v/>
      </c>
      <c r="J16" s="102">
        <f>('Reporte AN'!G36*J$7)</f>
        <v>11647</v>
      </c>
      <c r="K16" s="1" t="str">
        <f>IF($B$2="Engorde",INDEX(Datos!$F$21:$T$59,MATCH($B16,Datos!$F$21:$F$59,0),MATCH(L$6,Datos!$F$21:$T$21,0)),"")</f>
        <v/>
      </c>
      <c r="L16" s="102">
        <f>('Reporte AN'!H36*L$7)</f>
        <v>3749.3941755865226</v>
      </c>
      <c r="M16" s="1" t="str">
        <f>IF($B$2="Engorde",INDEX(Datos!$F$21:$T$59,MATCH($B16,Datos!$F$21:$F$59,0),MATCH(N$6,Datos!$F$21:$T$21,0)),"")</f>
        <v/>
      </c>
      <c r="N16" s="102">
        <f>('Reporte AN'!I36*N$7)</f>
        <v>27370.553462692624</v>
      </c>
      <c r="O16" s="1" t="str">
        <f>IF($B$2="Engorde",INDEX(Datos!$F$21:$T$59,MATCH($B16,Datos!$F$21:$F$59,0),MATCH(P$6,Datos!$F$21:$T$21,0)),"")</f>
        <v/>
      </c>
      <c r="P16" s="102">
        <f>('Reporte AN'!J36*P$7)</f>
        <v>0</v>
      </c>
      <c r="Q16" s="1" t="str">
        <f>IF($B$2="Engorde",INDEX(Datos!$F$21:$T$59,MATCH($B16,Datos!$F$21:$F$59,0),MATCH(R$6,Datos!$F$21:$T$21,0)),"")</f>
        <v/>
      </c>
      <c r="R16" s="102">
        <f>('Reporte AN'!K36*R$7)</f>
        <v>0</v>
      </c>
      <c r="S16" s="1" t="str">
        <f>IF($B$2="Engorde",INDEX(Datos!$F$21:$T$59,MATCH($B16,Datos!$F$21:$F$59,0),MATCH(T$6,Datos!$F$21:$T$21,0)),"")</f>
        <v/>
      </c>
      <c r="T16" s="102">
        <f>('Reporte AN'!L36*T$7)</f>
        <v>0</v>
      </c>
      <c r="U16" s="1" t="str">
        <f>IF($B$2="Engorde",INDEX(Datos!$F$21:$T$59,MATCH($B16,Datos!$F$21:$F$59,0),MATCH(V$6,Datos!$F$21:$T$21,0)),"")</f>
        <v/>
      </c>
      <c r="V16" s="102">
        <f>('Reporte AN'!M36*V$7)</f>
        <v>0</v>
      </c>
      <c r="W16" s="1" t="str">
        <f>IF($B$2="Engorde",INDEX(Datos!$F$21:$T$59,MATCH($B16,Datos!$F$21:$F$59,0),MATCH(X$6,Datos!$F$21:$T$21,0)),"")</f>
        <v/>
      </c>
      <c r="X16" s="102">
        <f>('Reporte AN'!N36*X$7)</f>
        <v>698.138941750002</v>
      </c>
    </row>
    <row r="17" spans="2:24" x14ac:dyDescent="0.25">
      <c r="B17" s="139">
        <f>IFERROR(INDEX(cuentas,ROW(B8)),"")</f>
        <v>8</v>
      </c>
      <c r="C17" s="1" t="str">
        <f>IF($B$2="Engorde",INDEX(Datos!$F$21:$T$59,MATCH($B17,Datos!$F$21:$F$59,0),MATCH(D$6,Datos!$F$21:$T$21,0)),"")</f>
        <v/>
      </c>
      <c r="D17" s="102">
        <f>('Reporte AN'!D37*D$7)</f>
        <v>0</v>
      </c>
      <c r="E17" s="1" t="str">
        <f>IF($B$2="Engorde",INDEX(Datos!$F$21:$T$59,MATCH($B17,Datos!$F$21:$F$59,0),MATCH(F$6,Datos!$F$21:$T$21,0)),"")</f>
        <v/>
      </c>
      <c r="F17" s="102">
        <f>('Reporte AN'!E37*F$7)</f>
        <v>0</v>
      </c>
      <c r="G17" s="1" t="str">
        <f>IF($B$2="Engorde",INDEX(Datos!$F$21:$T$59,MATCH($B17,Datos!$F$21:$F$59,0),MATCH(H$6,Datos!$F$21:$T$21,0)),"")</f>
        <v/>
      </c>
      <c r="H17" s="102">
        <f>('Reporte AN'!F37*H$7)</f>
        <v>4266000</v>
      </c>
      <c r="I17" s="1" t="str">
        <f>IF($B$2="Engorde",INDEX(Datos!$F$21:$T$59,MATCH($B17,Datos!$F$21:$F$59,0),MATCH(J$6,Datos!$F$21:$T$21,0)),"")</f>
        <v/>
      </c>
      <c r="J17" s="102">
        <f>('Reporte AN'!G37*J$7)</f>
        <v>279126</v>
      </c>
      <c r="K17" s="1" t="str">
        <f>IF($B$2="Engorde",INDEX(Datos!$F$21:$T$59,MATCH($B17,Datos!$F$21:$F$59,0),MATCH(L$6,Datos!$F$21:$T$21,0)),"")</f>
        <v/>
      </c>
      <c r="L17" s="102">
        <f>('Reporte AN'!H37*L$7)</f>
        <v>208369.71132134483</v>
      </c>
      <c r="M17" s="1" t="str">
        <f>IF($B$2="Engorde",INDEX(Datos!$F$21:$T$59,MATCH($B17,Datos!$F$21:$F$59,0),MATCH(N$6,Datos!$F$21:$T$21,0)),"")</f>
        <v/>
      </c>
      <c r="N17" s="102">
        <f>('Reporte AN'!I37*N$7)</f>
        <v>44129.306607148581</v>
      </c>
      <c r="O17" s="1" t="str">
        <f>IF($B$2="Engorde",INDEX(Datos!$F$21:$T$59,MATCH($B17,Datos!$F$21:$F$59,0),MATCH(P$6,Datos!$F$21:$T$21,0)),"")</f>
        <v/>
      </c>
      <c r="P17" s="102">
        <f>('Reporte AN'!J37*P$7)</f>
        <v>0</v>
      </c>
      <c r="Q17" s="1" t="str">
        <f>IF($B$2="Engorde",INDEX(Datos!$F$21:$T$59,MATCH($B17,Datos!$F$21:$F$59,0),MATCH(R$6,Datos!$F$21:$T$21,0)),"")</f>
        <v/>
      </c>
      <c r="R17" s="102">
        <f>('Reporte AN'!K37*R$7)</f>
        <v>0</v>
      </c>
      <c r="S17" s="1" t="str">
        <f>IF($B$2="Engorde",INDEX(Datos!$F$21:$T$59,MATCH($B17,Datos!$F$21:$F$59,0),MATCH(T$6,Datos!$F$21:$T$21,0)),"")</f>
        <v/>
      </c>
      <c r="T17" s="102">
        <f>('Reporte AN'!L37*T$7)</f>
        <v>4663.2190132673832</v>
      </c>
      <c r="U17" s="1" t="str">
        <f>IF($B$2="Engorde",INDEX(Datos!$F$21:$T$59,MATCH($B17,Datos!$F$21:$F$59,0),MATCH(V$6,Datos!$F$21:$T$21,0)),"")</f>
        <v/>
      </c>
      <c r="V17" s="102">
        <f>('Reporte AN'!M37*V$7)</f>
        <v>8925.4857607199228</v>
      </c>
      <c r="W17" s="1" t="str">
        <f>IF($B$2="Engorde",INDEX(Datos!$F$21:$T$59,MATCH($B17,Datos!$F$21:$F$59,0),MATCH(X$6,Datos!$F$21:$T$21,0)),"")</f>
        <v/>
      </c>
      <c r="X17" s="102">
        <f>('Reporte AN'!N37*X$7)</f>
        <v>13871.954373488405</v>
      </c>
    </row>
    <row r="18" spans="2:24" x14ac:dyDescent="0.25">
      <c r="B18" s="139">
        <f>IFERROR(INDEX(cuentas,ROW(B9)),"")</f>
        <v>9</v>
      </c>
      <c r="C18" s="1" t="str">
        <f>IF($B$2="Engorde",INDEX(Datos!$F$21:$T$59,MATCH($B18,Datos!$F$21:$F$59,0),MATCH(D$6,Datos!$F$21:$T$21,0)),"")</f>
        <v/>
      </c>
      <c r="D18" s="102">
        <f>('Reporte AN'!D38*D$7)</f>
        <v>0</v>
      </c>
      <c r="E18" s="1" t="str">
        <f>IF($B$2="Engorde",INDEX(Datos!$F$21:$T$59,MATCH($B18,Datos!$F$21:$F$59,0),MATCH(F$6,Datos!$F$21:$T$21,0)),"")</f>
        <v/>
      </c>
      <c r="F18" s="102">
        <f>('Reporte AN'!E38*F$7)</f>
        <v>0</v>
      </c>
      <c r="G18" s="1" t="str">
        <f>IF($B$2="Engorde",INDEX(Datos!$F$21:$T$59,MATCH($B18,Datos!$F$21:$F$59,0),MATCH(H$6,Datos!$F$21:$T$21,0)),"")</f>
        <v/>
      </c>
      <c r="H18" s="102">
        <f>('Reporte AN'!F38*H$7)</f>
        <v>0</v>
      </c>
      <c r="I18" s="1" t="str">
        <f>IF($B$2="Engorde",INDEX(Datos!$F$21:$T$59,MATCH($B18,Datos!$F$21:$F$59,0),MATCH(J$6,Datos!$F$21:$T$21,0)),"")</f>
        <v/>
      </c>
      <c r="J18" s="102">
        <f>('Reporte AN'!G38*J$7)</f>
        <v>0</v>
      </c>
      <c r="K18" s="1" t="str">
        <f>IF($B$2="Engorde",INDEX(Datos!$F$21:$T$59,MATCH($B18,Datos!$F$21:$F$59,0),MATCH(L$6,Datos!$F$21:$T$21,0)),"")</f>
        <v/>
      </c>
      <c r="L18" s="102">
        <f>('Reporte AN'!H38*L$7)</f>
        <v>0</v>
      </c>
      <c r="M18" s="1" t="str">
        <f>IF($B$2="Engorde",INDEX(Datos!$F$21:$T$59,MATCH($B18,Datos!$F$21:$F$59,0),MATCH(N$6,Datos!$F$21:$T$21,0)),"")</f>
        <v/>
      </c>
      <c r="N18" s="102">
        <f>('Reporte AN'!I38*N$7)</f>
        <v>0</v>
      </c>
      <c r="O18" s="1" t="str">
        <f>IF($B$2="Engorde",INDEX(Datos!$F$21:$T$59,MATCH($B18,Datos!$F$21:$F$59,0),MATCH(P$6,Datos!$F$21:$T$21,0)),"")</f>
        <v/>
      </c>
      <c r="P18" s="102">
        <f>('Reporte AN'!J38*P$7)</f>
        <v>0</v>
      </c>
      <c r="Q18" s="1" t="str">
        <f>IF($B$2="Engorde",INDEX(Datos!$F$21:$T$59,MATCH($B18,Datos!$F$21:$F$59,0),MATCH(R$6,Datos!$F$21:$T$21,0)),"")</f>
        <v/>
      </c>
      <c r="R18" s="102">
        <f>('Reporte AN'!K38*R$7)</f>
        <v>262805.17322737246</v>
      </c>
      <c r="S18" s="1" t="str">
        <f>IF($B$2="Engorde",INDEX(Datos!$F$21:$T$59,MATCH($B18,Datos!$F$21:$F$59,0),MATCH(T$6,Datos!$F$21:$T$21,0)),"")</f>
        <v/>
      </c>
      <c r="T18" s="102">
        <f>('Reporte AN'!L38*T$7)</f>
        <v>0</v>
      </c>
      <c r="U18" s="1" t="str">
        <f>IF($B$2="Engorde",INDEX(Datos!$F$21:$T$59,MATCH($B18,Datos!$F$21:$F$59,0),MATCH(V$6,Datos!$F$21:$T$21,0)),"")</f>
        <v/>
      </c>
      <c r="V18" s="102">
        <f>('Reporte AN'!M38*V$7)</f>
        <v>0</v>
      </c>
      <c r="W18" s="1" t="str">
        <f>IF($B$2="Engorde",INDEX(Datos!$F$21:$T$59,MATCH($B18,Datos!$F$21:$F$59,0),MATCH(X$6,Datos!$F$21:$T$21,0)),"")</f>
        <v/>
      </c>
      <c r="X18" s="102">
        <f>('Reporte AN'!N38*X$7)</f>
        <v>0</v>
      </c>
    </row>
    <row r="19" spans="2:24" x14ac:dyDescent="0.25">
      <c r="B19" s="139">
        <f>IFERROR(INDEX(cuentas,ROW(B10)),"")</f>
        <v>10</v>
      </c>
      <c r="C19" s="1" t="str">
        <f>IF($B$2="Engorde",INDEX(Datos!$F$21:$T$59,MATCH($B19,Datos!$F$21:$F$59,0),MATCH(D$6,Datos!$F$21:$T$21,0)),"")</f>
        <v/>
      </c>
      <c r="D19" s="102">
        <f>('Reporte AN'!D39*D$7)</f>
        <v>0</v>
      </c>
      <c r="E19" s="1" t="str">
        <f>IF($B$2="Engorde",INDEX(Datos!$F$21:$T$59,MATCH($B19,Datos!$F$21:$F$59,0),MATCH(F$6,Datos!$F$21:$T$21,0)),"")</f>
        <v/>
      </c>
      <c r="F19" s="102">
        <f>('Reporte AN'!E39*F$7)</f>
        <v>800000</v>
      </c>
      <c r="G19" s="1" t="str">
        <f>IF($B$2="Engorde",INDEX(Datos!$F$21:$T$59,MATCH($B19,Datos!$F$21:$F$59,0),MATCH(H$6,Datos!$F$21:$T$21,0)),"")</f>
        <v/>
      </c>
      <c r="H19" s="102">
        <f>('Reporte AN'!F39*H$7)</f>
        <v>0</v>
      </c>
      <c r="I19" s="1" t="str">
        <f>IF($B$2="Engorde",INDEX(Datos!$F$21:$T$59,MATCH($B19,Datos!$F$21:$F$59,0),MATCH(J$6,Datos!$F$21:$T$21,0)),"")</f>
        <v/>
      </c>
      <c r="J19" s="102">
        <f>('Reporte AN'!G39*J$7)</f>
        <v>0</v>
      </c>
      <c r="K19" s="1" t="str">
        <f>IF($B$2="Engorde",INDEX(Datos!$F$21:$T$59,MATCH($B19,Datos!$F$21:$F$59,0),MATCH(L$6,Datos!$F$21:$T$21,0)),"")</f>
        <v/>
      </c>
      <c r="L19" s="102">
        <f>('Reporte AN'!H39*L$7)</f>
        <v>0</v>
      </c>
      <c r="M19" s="1" t="str">
        <f>IF($B$2="Engorde",INDEX(Datos!$F$21:$T$59,MATCH($B19,Datos!$F$21:$F$59,0),MATCH(N$6,Datos!$F$21:$T$21,0)),"")</f>
        <v/>
      </c>
      <c r="N19" s="102">
        <f>('Reporte AN'!I39*N$7)</f>
        <v>0</v>
      </c>
      <c r="O19" s="1" t="str">
        <f>IF($B$2="Engorde",INDEX(Datos!$F$21:$T$59,MATCH($B19,Datos!$F$21:$F$59,0),MATCH(P$6,Datos!$F$21:$T$21,0)),"")</f>
        <v/>
      </c>
      <c r="P19" s="102">
        <f>('Reporte AN'!J39*P$7)</f>
        <v>0</v>
      </c>
      <c r="Q19" s="1" t="str">
        <f>IF($B$2="Engorde",INDEX(Datos!$F$21:$T$59,MATCH($B19,Datos!$F$21:$F$59,0),MATCH(R$6,Datos!$F$21:$T$21,0)),"")</f>
        <v/>
      </c>
      <c r="R19" s="102">
        <f>('Reporte AN'!K39*R$7)</f>
        <v>493548.11532100552</v>
      </c>
      <c r="S19" s="1" t="str">
        <f>IF($B$2="Engorde",INDEX(Datos!$F$21:$T$59,MATCH($B19,Datos!$F$21:$F$59,0),MATCH(T$6,Datos!$F$21:$T$21,0)),"")</f>
        <v/>
      </c>
      <c r="T19" s="102">
        <f>('Reporte AN'!L39*T$7)</f>
        <v>0</v>
      </c>
      <c r="U19" s="1" t="str">
        <f>IF($B$2="Engorde",INDEX(Datos!$F$21:$T$59,MATCH($B19,Datos!$F$21:$F$59,0),MATCH(V$6,Datos!$F$21:$T$21,0)),"")</f>
        <v/>
      </c>
      <c r="V19" s="102">
        <f>('Reporte AN'!M39*V$7)</f>
        <v>5304.0753052841301</v>
      </c>
      <c r="W19" s="1" t="str">
        <f>IF($B$2="Engorde",INDEX(Datos!$F$21:$T$59,MATCH($B19,Datos!$F$21:$F$59,0),MATCH(X$6,Datos!$F$21:$T$21,0)),"")</f>
        <v/>
      </c>
      <c r="X19" s="102">
        <f>('Reporte AN'!N39*X$7)</f>
        <v>988.08160913440042</v>
      </c>
    </row>
    <row r="20" spans="2:24" x14ac:dyDescent="0.25">
      <c r="B20" s="139">
        <f>IFERROR(INDEX(cuentas,ROW(B11)),"")</f>
        <v>11</v>
      </c>
      <c r="C20" s="1" t="str">
        <f>IF($B$2="Engorde",INDEX(Datos!$F$21:$T$59,MATCH($B20,Datos!$F$21:$F$59,0),MATCH(D$6,Datos!$F$21:$T$21,0)),"")</f>
        <v/>
      </c>
      <c r="D20" s="102">
        <f>('Reporte AN'!D40*D$7)</f>
        <v>78301</v>
      </c>
      <c r="E20" s="1" t="str">
        <f>IF($B$2="Engorde",INDEX(Datos!$F$21:$T$59,MATCH($B20,Datos!$F$21:$F$59,0),MATCH(F$6,Datos!$F$21:$T$21,0)),"")</f>
        <v/>
      </c>
      <c r="F20" s="102">
        <f>('Reporte AN'!E40*F$7)</f>
        <v>0</v>
      </c>
      <c r="G20" s="1" t="str">
        <f>IF($B$2="Engorde",INDEX(Datos!$F$21:$T$59,MATCH($B20,Datos!$F$21:$F$59,0),MATCH(H$6,Datos!$F$21:$T$21,0)),"")</f>
        <v/>
      </c>
      <c r="H20" s="102">
        <f>('Reporte AN'!F40*H$7)</f>
        <v>10764</v>
      </c>
      <c r="I20" s="1" t="str">
        <f>IF($B$2="Engorde",INDEX(Datos!$F$21:$T$59,MATCH($B20,Datos!$F$21:$F$59,0),MATCH(J$6,Datos!$F$21:$T$21,0)),"")</f>
        <v/>
      </c>
      <c r="J20" s="102">
        <f>('Reporte AN'!G40*J$7)</f>
        <v>0</v>
      </c>
      <c r="K20" s="1" t="str">
        <f>IF($B$2="Engorde",INDEX(Datos!$F$21:$T$59,MATCH($B20,Datos!$F$21:$F$59,0),MATCH(L$6,Datos!$F$21:$T$21,0)),"")</f>
        <v/>
      </c>
      <c r="L20" s="102">
        <f>('Reporte AN'!H40*L$7)</f>
        <v>0</v>
      </c>
      <c r="M20" s="1" t="str">
        <f>IF($B$2="Engorde",INDEX(Datos!$F$21:$T$59,MATCH($B20,Datos!$F$21:$F$59,0),MATCH(N$6,Datos!$F$21:$T$21,0)),"")</f>
        <v/>
      </c>
      <c r="N20" s="102">
        <f>('Reporte AN'!I40*N$7)</f>
        <v>0</v>
      </c>
      <c r="O20" s="1" t="str">
        <f>IF($B$2="Engorde",INDEX(Datos!$F$21:$T$59,MATCH($B20,Datos!$F$21:$F$59,0),MATCH(P$6,Datos!$F$21:$T$21,0)),"")</f>
        <v/>
      </c>
      <c r="P20" s="102">
        <f>('Reporte AN'!J40*P$7)</f>
        <v>0</v>
      </c>
      <c r="Q20" s="1" t="str">
        <f>IF($B$2="Engorde",INDEX(Datos!$F$21:$T$59,MATCH($B20,Datos!$F$21:$F$59,0),MATCH(R$6,Datos!$F$21:$T$21,0)),"")</f>
        <v/>
      </c>
      <c r="R20" s="102">
        <f>('Reporte AN'!K40*R$7)</f>
        <v>20899.14339228475</v>
      </c>
      <c r="S20" s="1" t="str">
        <f>IF($B$2="Engorde",INDEX(Datos!$F$21:$T$59,MATCH($B20,Datos!$F$21:$F$59,0),MATCH(T$6,Datos!$F$21:$T$21,0)),"")</f>
        <v/>
      </c>
      <c r="T20" s="102">
        <f>('Reporte AN'!L40*T$7)</f>
        <v>83379.020162974659</v>
      </c>
      <c r="U20" s="1" t="str">
        <f>IF($B$2="Engorde",INDEX(Datos!$F$21:$T$59,MATCH($B20,Datos!$F$21:$F$59,0),MATCH(V$6,Datos!$F$21:$T$21,0)),"")</f>
        <v/>
      </c>
      <c r="V20" s="102">
        <f>('Reporte AN'!M40*V$7)</f>
        <v>15804.022779624593</v>
      </c>
      <c r="W20" s="1" t="str">
        <f>IF($B$2="Engorde",INDEX(Datos!$F$21:$T$59,MATCH($B20,Datos!$F$21:$F$59,0),MATCH(X$6,Datos!$F$21:$T$21,0)),"")</f>
        <v/>
      </c>
      <c r="X20" s="102">
        <f>('Reporte AN'!N40*X$7)</f>
        <v>4300.4473490678338</v>
      </c>
    </row>
    <row r="21" spans="2:24" x14ac:dyDescent="0.25">
      <c r="B21" s="139">
        <f>IFERROR(INDEX(cuentas,ROW(B12)),"")</f>
        <v>12</v>
      </c>
      <c r="C21" s="1" t="str">
        <f>IF($B$2="Engorde",INDEX(Datos!$F$21:$T$59,MATCH($B21,Datos!$F$21:$F$59,0),MATCH(D$6,Datos!$F$21:$T$21,0)),"")</f>
        <v/>
      </c>
      <c r="D21" s="102">
        <f>('Reporte AN'!D41*D$7)</f>
        <v>58462</v>
      </c>
      <c r="E21" s="1" t="str">
        <f>IF($B$2="Engorde",INDEX(Datos!$F$21:$T$59,MATCH($B21,Datos!$F$21:$F$59,0),MATCH(F$6,Datos!$F$21:$T$21,0)),"")</f>
        <v/>
      </c>
      <c r="F21" s="102">
        <f>('Reporte AN'!E41*F$7)</f>
        <v>1103281</v>
      </c>
      <c r="G21" s="1" t="str">
        <f>IF($B$2="Engorde",INDEX(Datos!$F$21:$T$59,MATCH($B21,Datos!$F$21:$F$59,0),MATCH(H$6,Datos!$F$21:$T$21,0)),"")</f>
        <v/>
      </c>
      <c r="H21" s="102">
        <f>('Reporte AN'!F41*H$7)</f>
        <v>582482</v>
      </c>
      <c r="I21" s="1" t="str">
        <f>IF($B$2="Engorde",INDEX(Datos!$F$21:$T$59,MATCH($B21,Datos!$F$21:$F$59,0),MATCH(J$6,Datos!$F$21:$T$21,0)),"")</f>
        <v/>
      </c>
      <c r="J21" s="102">
        <f>('Reporte AN'!G41*J$7)</f>
        <v>1456446</v>
      </c>
      <c r="K21" s="1" t="str">
        <f>IF($B$2="Engorde",INDEX(Datos!$F$21:$T$59,MATCH($B21,Datos!$F$21:$F$59,0),MATCH(L$6,Datos!$F$21:$T$21,0)),"")</f>
        <v/>
      </c>
      <c r="L21" s="102">
        <f>('Reporte AN'!H41*L$7)</f>
        <v>554179.52019660152</v>
      </c>
      <c r="M21" s="1" t="str">
        <f>IF($B$2="Engorde",INDEX(Datos!$F$21:$T$59,MATCH($B21,Datos!$F$21:$F$59,0),MATCH(N$6,Datos!$F$21:$T$21,0)),"")</f>
        <v/>
      </c>
      <c r="N21" s="102">
        <f>('Reporte AN'!I41*N$7)</f>
        <v>1262303.2404480944</v>
      </c>
      <c r="O21" s="1" t="str">
        <f>IF($B$2="Engorde",INDEX(Datos!$F$21:$T$59,MATCH($B21,Datos!$F$21:$F$59,0),MATCH(P$6,Datos!$F$21:$T$21,0)),"")</f>
        <v/>
      </c>
      <c r="P21" s="102">
        <f>('Reporte AN'!J41*P$7)</f>
        <v>3348746.761881338</v>
      </c>
      <c r="Q21" s="1" t="str">
        <f>IF($B$2="Engorde",INDEX(Datos!$F$21:$T$59,MATCH($B21,Datos!$F$21:$F$59,0),MATCH(R$6,Datos!$F$21:$T$21,0)),"")</f>
        <v/>
      </c>
      <c r="R21" s="102">
        <f>('Reporte AN'!K41*R$7)</f>
        <v>1927964.1552960831</v>
      </c>
      <c r="S21" s="1" t="str">
        <f>IF($B$2="Engorde",INDEX(Datos!$F$21:$T$59,MATCH($B21,Datos!$F$21:$F$59,0),MATCH(T$6,Datos!$F$21:$T$21,0)),"")</f>
        <v/>
      </c>
      <c r="T21" s="102">
        <f>('Reporte AN'!L41*T$7)</f>
        <v>677428.74785606784</v>
      </c>
      <c r="U21" s="1" t="str">
        <f>IF($B$2="Engorde",INDEX(Datos!$F$21:$T$59,MATCH($B21,Datos!$F$21:$F$59,0),MATCH(V$6,Datos!$F$21:$T$21,0)),"")</f>
        <v/>
      </c>
      <c r="V21" s="102">
        <f>('Reporte AN'!M41*V$7)</f>
        <v>695876.43403422763</v>
      </c>
      <c r="W21" s="1" t="str">
        <f>IF($B$2="Engorde",INDEX(Datos!$F$21:$T$59,MATCH($B21,Datos!$F$21:$F$59,0),MATCH(X$6,Datos!$F$21:$T$21,0)),"")</f>
        <v/>
      </c>
      <c r="X21" s="102">
        <f>('Reporte AN'!N41*X$7)</f>
        <v>226721.88607777283</v>
      </c>
    </row>
    <row r="22" spans="2:24" x14ac:dyDescent="0.25">
      <c r="B22" s="139">
        <f>IFERROR(INDEX(cuentas,ROW(B13)),"")</f>
        <v>13</v>
      </c>
      <c r="C22" s="1" t="str">
        <f>IF($B$2="Engorde",INDEX(Datos!$F$21:$T$59,MATCH($B22,Datos!$F$21:$F$59,0),MATCH(D$6,Datos!$F$21:$T$21,0)),"")</f>
        <v/>
      </c>
      <c r="D22" s="102">
        <f>('Reporte AN'!D42*D$7)</f>
        <v>0</v>
      </c>
      <c r="E22" s="1" t="str">
        <f>IF($B$2="Engorde",INDEX(Datos!$F$21:$T$59,MATCH($B22,Datos!$F$21:$F$59,0),MATCH(F$6,Datos!$F$21:$T$21,0)),"")</f>
        <v/>
      </c>
      <c r="F22" s="102">
        <f>('Reporte AN'!E42*F$7)</f>
        <v>92887</v>
      </c>
      <c r="G22" s="1" t="str">
        <f>IF($B$2="Engorde",INDEX(Datos!$F$21:$T$59,MATCH($B22,Datos!$F$21:$F$59,0),MATCH(H$6,Datos!$F$21:$T$21,0)),"")</f>
        <v/>
      </c>
      <c r="H22" s="102">
        <f>('Reporte AN'!F42*H$7)</f>
        <v>8401</v>
      </c>
      <c r="I22" s="1" t="str">
        <f>IF($B$2="Engorde",INDEX(Datos!$F$21:$T$59,MATCH($B22,Datos!$F$21:$F$59,0),MATCH(J$6,Datos!$F$21:$T$21,0)),"")</f>
        <v/>
      </c>
      <c r="J22" s="102">
        <f>('Reporte AN'!G42*J$7)</f>
        <v>131360</v>
      </c>
      <c r="K22" s="1" t="str">
        <f>IF($B$2="Engorde",INDEX(Datos!$F$21:$T$59,MATCH($B22,Datos!$F$21:$F$59,0),MATCH(L$6,Datos!$F$21:$T$21,0)),"")</f>
        <v/>
      </c>
      <c r="L22" s="102">
        <f>('Reporte AN'!H42*L$7)</f>
        <v>9099.0497127694198</v>
      </c>
      <c r="M22" s="1" t="str">
        <f>IF($B$2="Engorde",INDEX(Datos!$F$21:$T$59,MATCH($B22,Datos!$F$21:$F$59,0),MATCH(N$6,Datos!$F$21:$T$21,0)),"")</f>
        <v/>
      </c>
      <c r="N22" s="102">
        <f>('Reporte AN'!I42*N$7)</f>
        <v>222669.12625523721</v>
      </c>
      <c r="O22" s="1" t="str">
        <f>IF($B$2="Engorde",INDEX(Datos!$F$21:$T$59,MATCH($B22,Datos!$F$21:$F$59,0),MATCH(P$6,Datos!$F$21:$T$21,0)),"")</f>
        <v/>
      </c>
      <c r="P22" s="102">
        <f>('Reporte AN'!J42*P$7)</f>
        <v>30967.658962276739</v>
      </c>
      <c r="Q22" s="1" t="str">
        <f>IF($B$2="Engorde",INDEX(Datos!$F$21:$T$59,MATCH($B22,Datos!$F$21:$F$59,0),MATCH(R$6,Datos!$F$21:$T$21,0)),"")</f>
        <v/>
      </c>
      <c r="R22" s="102">
        <f>('Reporte AN'!K42*R$7)</f>
        <v>172833.82217298151</v>
      </c>
      <c r="S22" s="1" t="str">
        <f>IF($B$2="Engorde",INDEX(Datos!$F$21:$T$59,MATCH($B22,Datos!$F$21:$F$59,0),MATCH(T$6,Datos!$F$21:$T$21,0)),"")</f>
        <v/>
      </c>
      <c r="T22" s="102">
        <f>('Reporte AN'!L42*T$7)</f>
        <v>48024.195808276039</v>
      </c>
      <c r="U22" s="1" t="str">
        <f>IF($B$2="Engorde",INDEX(Datos!$F$21:$T$59,MATCH($B22,Datos!$F$21:$F$59,0),MATCH(V$6,Datos!$F$21:$T$21,0)),"")</f>
        <v/>
      </c>
      <c r="V22" s="102">
        <f>('Reporte AN'!M42*V$7)</f>
        <v>0</v>
      </c>
      <c r="W22" s="1" t="str">
        <f>IF($B$2="Engorde",INDEX(Datos!$F$21:$T$59,MATCH($B22,Datos!$F$21:$F$59,0),MATCH(X$6,Datos!$F$21:$T$21,0)),"")</f>
        <v/>
      </c>
      <c r="X22" s="102">
        <f>('Reporte AN'!N42*X$7)</f>
        <v>167.57864090919432</v>
      </c>
    </row>
    <row r="23" spans="2:24" x14ac:dyDescent="0.25">
      <c r="B23" s="139">
        <f>IFERROR(INDEX(cuentas,ROW(B14)),"")</f>
        <v>14</v>
      </c>
      <c r="C23" s="1" t="str">
        <f>IF($B$2="Engorde",INDEX(Datos!$F$21:$T$59,MATCH($B23,Datos!$F$21:$F$59,0),MATCH(D$6,Datos!$F$21:$T$21,0)),"")</f>
        <v/>
      </c>
      <c r="D23" s="102">
        <f>('Reporte AN'!D43*D$7)</f>
        <v>0</v>
      </c>
      <c r="E23" s="1" t="str">
        <f>IF($B$2="Engorde",INDEX(Datos!$F$21:$T$59,MATCH($B23,Datos!$F$21:$F$59,0),MATCH(F$6,Datos!$F$21:$T$21,0)),"")</f>
        <v/>
      </c>
      <c r="F23" s="102">
        <f>('Reporte AN'!E43*F$7)</f>
        <v>0</v>
      </c>
      <c r="G23" s="1" t="str">
        <f>IF($B$2="Engorde",INDEX(Datos!$F$21:$T$59,MATCH($B23,Datos!$F$21:$F$59,0),MATCH(H$6,Datos!$F$21:$T$21,0)),"")</f>
        <v/>
      </c>
      <c r="H23" s="102">
        <f>('Reporte AN'!F43*H$7)</f>
        <v>29412</v>
      </c>
      <c r="I23" s="1" t="str">
        <f>IF($B$2="Engorde",INDEX(Datos!$F$21:$T$59,MATCH($B23,Datos!$F$21:$F$59,0),MATCH(J$6,Datos!$F$21:$T$21,0)),"")</f>
        <v/>
      </c>
      <c r="J23" s="102">
        <f>('Reporte AN'!G43*J$7)</f>
        <v>0</v>
      </c>
      <c r="K23" s="1" t="str">
        <f>IF($B$2="Engorde",INDEX(Datos!$F$21:$T$59,MATCH($B23,Datos!$F$21:$F$59,0),MATCH(L$6,Datos!$F$21:$T$21,0)),"")</f>
        <v/>
      </c>
      <c r="L23" s="102">
        <f>('Reporte AN'!H43*L$7)</f>
        <v>129961.66986435087</v>
      </c>
      <c r="M23" s="1" t="str">
        <f>IF($B$2="Engorde",INDEX(Datos!$F$21:$T$59,MATCH($B23,Datos!$F$21:$F$59,0),MATCH(N$6,Datos!$F$21:$T$21,0)),"")</f>
        <v/>
      </c>
      <c r="N23" s="102">
        <f>('Reporte AN'!I43*N$7)</f>
        <v>237254.29472916067</v>
      </c>
      <c r="O23" s="1" t="str">
        <f>IF($B$2="Engorde",INDEX(Datos!$F$21:$T$59,MATCH($B23,Datos!$F$21:$F$59,0),MATCH(P$6,Datos!$F$21:$T$21,0)),"")</f>
        <v/>
      </c>
      <c r="P23" s="102">
        <f>('Reporte AN'!J43*P$7)</f>
        <v>14694.752651937806</v>
      </c>
      <c r="Q23" s="1" t="str">
        <f>IF($B$2="Engorde",INDEX(Datos!$F$21:$T$59,MATCH($B23,Datos!$F$21:$F$59,0),MATCH(R$6,Datos!$F$21:$T$21,0)),"")</f>
        <v/>
      </c>
      <c r="R23" s="102">
        <f>('Reporte AN'!K43*R$7)</f>
        <v>157196.91436595283</v>
      </c>
      <c r="S23" s="1" t="str">
        <f>IF($B$2="Engorde",INDEX(Datos!$F$21:$T$59,MATCH($B23,Datos!$F$21:$F$59,0),MATCH(T$6,Datos!$F$21:$T$21,0)),"")</f>
        <v/>
      </c>
      <c r="T23" s="102">
        <f>('Reporte AN'!L43*T$7)</f>
        <v>190390.33972722632</v>
      </c>
      <c r="U23" s="1" t="str">
        <f>IF($B$2="Engorde",INDEX(Datos!$F$21:$T$59,MATCH($B23,Datos!$F$21:$F$59,0),MATCH(V$6,Datos!$F$21:$T$21,0)),"")</f>
        <v/>
      </c>
      <c r="V23" s="102">
        <f>('Reporte AN'!M43*V$7)</f>
        <v>552684.64681060635</v>
      </c>
      <c r="W23" s="1" t="str">
        <f>IF($B$2="Engorde",INDEX(Datos!$F$21:$T$59,MATCH($B23,Datos!$F$21:$F$59,0),MATCH(X$6,Datos!$F$21:$T$21,0)),"")</f>
        <v/>
      </c>
      <c r="X23" s="102">
        <f>('Reporte AN'!N43*X$7)</f>
        <v>128299.47222453885</v>
      </c>
    </row>
    <row r="24" spans="2:24" x14ac:dyDescent="0.25">
      <c r="B24" s="139">
        <f>IFERROR(INDEX(cuentas,ROW(B15)),"")</f>
        <v>15</v>
      </c>
      <c r="C24" s="1" t="str">
        <f>IF($B$2="Engorde",INDEX(Datos!$F$21:$T$59,MATCH($B24,Datos!$F$21:$F$59,0),MATCH(D$6,Datos!$F$21:$T$21,0)),"")</f>
        <v/>
      </c>
      <c r="D24" s="102">
        <f>('Reporte AN'!D44*D$7)</f>
        <v>0</v>
      </c>
      <c r="E24" s="1" t="str">
        <f>IF($B$2="Engorde",INDEX(Datos!$F$21:$T$59,MATCH($B24,Datos!$F$21:$F$59,0),MATCH(F$6,Datos!$F$21:$T$21,0)),"")</f>
        <v/>
      </c>
      <c r="F24" s="102">
        <f>('Reporte AN'!E44*F$7)</f>
        <v>0</v>
      </c>
      <c r="G24" s="1" t="str">
        <f>IF($B$2="Engorde",INDEX(Datos!$F$21:$T$59,MATCH($B24,Datos!$F$21:$F$59,0),MATCH(H$6,Datos!$F$21:$T$21,0)),"")</f>
        <v/>
      </c>
      <c r="H24" s="102">
        <f>('Reporte AN'!F44*H$7)</f>
        <v>0</v>
      </c>
      <c r="I24" s="1" t="str">
        <f>IF($B$2="Engorde",INDEX(Datos!$F$21:$T$59,MATCH($B24,Datos!$F$21:$F$59,0),MATCH(J$6,Datos!$F$21:$T$21,0)),"")</f>
        <v/>
      </c>
      <c r="J24" s="102">
        <f>('Reporte AN'!G44*J$7)</f>
        <v>350699</v>
      </c>
      <c r="K24" s="1" t="str">
        <f>IF($B$2="Engorde",INDEX(Datos!$F$21:$T$59,MATCH($B24,Datos!$F$21:$F$59,0),MATCH(L$6,Datos!$F$21:$T$21,0)),"")</f>
        <v/>
      </c>
      <c r="L24" s="102">
        <f>('Reporte AN'!H44*L$7)</f>
        <v>76333.85320595892</v>
      </c>
      <c r="M24" s="1" t="str">
        <f>IF($B$2="Engorde",INDEX(Datos!$F$21:$T$59,MATCH($B24,Datos!$F$21:$F$59,0),MATCH(N$6,Datos!$F$21:$T$21,0)),"")</f>
        <v/>
      </c>
      <c r="N24" s="102">
        <f>('Reporte AN'!I44*N$7)</f>
        <v>76477.818911231909</v>
      </c>
      <c r="O24" s="1" t="str">
        <f>IF($B$2="Engorde",INDEX(Datos!$F$21:$T$59,MATCH($B24,Datos!$F$21:$F$59,0),MATCH(P$6,Datos!$F$21:$T$21,0)),"")</f>
        <v/>
      </c>
      <c r="P24" s="102">
        <f>('Reporte AN'!J44*P$7)</f>
        <v>77362.316387522282</v>
      </c>
      <c r="Q24" s="1" t="str">
        <f>IF($B$2="Engorde",INDEX(Datos!$F$21:$T$59,MATCH($B24,Datos!$F$21:$F$59,0),MATCH(R$6,Datos!$F$21:$T$21,0)),"")</f>
        <v/>
      </c>
      <c r="R24" s="102">
        <f>('Reporte AN'!K44*R$7)</f>
        <v>77467.518920854636</v>
      </c>
      <c r="S24" s="1" t="str">
        <f>IF($B$2="Engorde",INDEX(Datos!$F$21:$T$59,MATCH($B24,Datos!$F$21:$F$59,0),MATCH(T$6,Datos!$F$21:$T$21,0)),"")</f>
        <v/>
      </c>
      <c r="T24" s="102">
        <f>('Reporte AN'!L44*T$7)</f>
        <v>62485.862894424521</v>
      </c>
      <c r="U24" s="1" t="str">
        <f>IF($B$2="Engorde",INDEX(Datos!$F$21:$T$59,MATCH($B24,Datos!$F$21:$F$59,0),MATCH(V$6,Datos!$F$21:$T$21,0)),"")</f>
        <v/>
      </c>
      <c r="V24" s="102">
        <f>('Reporte AN'!M44*V$7)</f>
        <v>37491.113724858129</v>
      </c>
      <c r="W24" s="1" t="str">
        <f>IF($B$2="Engorde",INDEX(Datos!$F$21:$T$59,MATCH($B24,Datos!$F$21:$F$59,0),MATCH(X$6,Datos!$F$21:$T$21,0)),"")</f>
        <v/>
      </c>
      <c r="X24" s="102">
        <f>('Reporte AN'!N44*X$7)</f>
        <v>13968.233045482461</v>
      </c>
    </row>
    <row r="25" spans="2:24" x14ac:dyDescent="0.25">
      <c r="B25" s="139">
        <f>IFERROR(INDEX(cuentas,ROW(B16)),"")</f>
        <v>16</v>
      </c>
      <c r="C25" s="1" t="str">
        <f>IF($B$2="Engorde",INDEX(Datos!$F$21:$T$59,MATCH($B25,Datos!$F$21:$F$59,0),MATCH(D$6,Datos!$F$21:$T$21,0)),"")</f>
        <v/>
      </c>
      <c r="D25" s="102">
        <f>('Reporte AN'!D45*D$7)</f>
        <v>277778</v>
      </c>
      <c r="E25" s="1" t="str">
        <f>IF($B$2="Engorde",INDEX(Datos!$F$21:$T$59,MATCH($B25,Datos!$F$21:$F$59,0),MATCH(F$6,Datos!$F$21:$T$21,0)),"")</f>
        <v/>
      </c>
      <c r="F25" s="102">
        <f>('Reporte AN'!E45*F$7)</f>
        <v>277778</v>
      </c>
      <c r="G25" s="1" t="str">
        <f>IF($B$2="Engorde",INDEX(Datos!$F$21:$T$59,MATCH($B25,Datos!$F$21:$F$59,0),MATCH(H$6,Datos!$F$21:$T$21,0)),"")</f>
        <v/>
      </c>
      <c r="H25" s="102">
        <f>('Reporte AN'!F45*H$7)</f>
        <v>277778</v>
      </c>
      <c r="I25" s="1" t="str">
        <f>IF($B$2="Engorde",INDEX(Datos!$F$21:$T$59,MATCH($B25,Datos!$F$21:$F$59,0),MATCH(J$6,Datos!$F$21:$T$21,0)),"")</f>
        <v/>
      </c>
      <c r="J25" s="102">
        <f>('Reporte AN'!G45*J$7)</f>
        <v>336134</v>
      </c>
      <c r="K25" s="1" t="str">
        <f>IF($B$2="Engorde",INDEX(Datos!$F$21:$T$59,MATCH($B25,Datos!$F$21:$F$59,0),MATCH(L$6,Datos!$F$21:$T$21,0)),"")</f>
        <v/>
      </c>
      <c r="L25" s="102">
        <f>('Reporte AN'!H45*L$7)</f>
        <v>145615.11979394572</v>
      </c>
      <c r="M25" s="1" t="str">
        <f>IF($B$2="Engorde",INDEX(Datos!$F$21:$T$59,MATCH($B25,Datos!$F$21:$F$59,0),MATCH(N$6,Datos!$F$21:$T$21,0)),"")</f>
        <v/>
      </c>
      <c r="N25" s="102">
        <f>('Reporte AN'!I45*N$7)</f>
        <v>145425.10144203217</v>
      </c>
      <c r="O25" s="1" t="str">
        <f>IF($B$2="Engorde",INDEX(Datos!$F$21:$T$59,MATCH($B25,Datos!$F$21:$F$59,0),MATCH(P$6,Datos!$F$21:$T$21,0)),"")</f>
        <v/>
      </c>
      <c r="P25" s="102">
        <f>('Reporte AN'!J45*P$7)</f>
        <v>1126578.7596425086</v>
      </c>
      <c r="Q25" s="1" t="str">
        <f>IF($B$2="Engorde",INDEX(Datos!$F$21:$T$59,MATCH($B25,Datos!$F$21:$F$59,0),MATCH(R$6,Datos!$F$21:$T$21,0)),"")</f>
        <v/>
      </c>
      <c r="R25" s="102">
        <f>('Reporte AN'!K45*R$7)</f>
        <v>147229.5901626827</v>
      </c>
      <c r="S25" s="1" t="str">
        <f>IF($B$2="Engorde",INDEX(Datos!$F$21:$T$59,MATCH($B25,Datos!$F$21:$F$59,0),MATCH(T$6,Datos!$F$21:$T$21,0)),"")</f>
        <v/>
      </c>
      <c r="T25" s="102">
        <f>('Reporte AN'!L45*T$7)</f>
        <v>903401.08443784364</v>
      </c>
      <c r="U25" s="1" t="str">
        <f>IF($B$2="Engorde",INDEX(Datos!$F$21:$T$59,MATCH($B25,Datos!$F$21:$F$59,0),MATCH(V$6,Datos!$F$21:$T$21,0)),"")</f>
        <v/>
      </c>
      <c r="V25" s="102">
        <f>('Reporte AN'!M45*V$7)</f>
        <v>71315.201946655026</v>
      </c>
      <c r="W25" s="1" t="str">
        <f>IF($B$2="Engorde",INDEX(Datos!$F$21:$T$59,MATCH($B25,Datos!$F$21:$F$59,0),MATCH(X$6,Datos!$F$21:$T$21,0)),"")</f>
        <v/>
      </c>
      <c r="X25" s="102">
        <f>('Reporte AN'!N45*X$7)</f>
        <v>26570.225888382603</v>
      </c>
    </row>
    <row r="26" spans="2:24" x14ac:dyDescent="0.25">
      <c r="B26" s="139">
        <f>IFERROR(INDEX(cuentas,ROW(B17)),"")</f>
        <v>17</v>
      </c>
      <c r="C26" s="1" t="str">
        <f>IF($B$2="Engorde",INDEX(Datos!$F$21:$T$59,MATCH($B26,Datos!$F$21:$F$59,0),MATCH(D$6,Datos!$F$21:$T$21,0)),"")</f>
        <v/>
      </c>
      <c r="D26" s="102">
        <f>('Reporte AN'!D46*D$7)</f>
        <v>0</v>
      </c>
      <c r="E26" s="1" t="str">
        <f>IF($B$2="Engorde",INDEX(Datos!$F$21:$T$59,MATCH($B26,Datos!$F$21:$F$59,0),MATCH(F$6,Datos!$F$21:$T$21,0)),"")</f>
        <v/>
      </c>
      <c r="F26" s="102">
        <f>('Reporte AN'!E46*F$7)</f>
        <v>0</v>
      </c>
      <c r="G26" s="1" t="str">
        <f>IF($B$2="Engorde",INDEX(Datos!$F$21:$T$59,MATCH($B26,Datos!$F$21:$F$59,0),MATCH(H$6,Datos!$F$21:$T$21,0)),"")</f>
        <v/>
      </c>
      <c r="H26" s="102">
        <f>('Reporte AN'!F46*H$7)</f>
        <v>82000</v>
      </c>
      <c r="I26" s="1" t="str">
        <f>IF($B$2="Engorde",INDEX(Datos!$F$21:$T$59,MATCH($B26,Datos!$F$21:$F$59,0),MATCH(J$6,Datos!$F$21:$T$21,0)),"")</f>
        <v/>
      </c>
      <c r="J26" s="102">
        <f>('Reporte AN'!G46*J$7)</f>
        <v>82000</v>
      </c>
      <c r="K26" s="1" t="str">
        <f>IF($B$2="Engorde",INDEX(Datos!$F$21:$T$59,MATCH($B26,Datos!$F$21:$F$59,0),MATCH(L$6,Datos!$F$21:$T$21,0)),"")</f>
        <v/>
      </c>
      <c r="L26" s="102">
        <f>('Reporte AN'!H46*L$7)</f>
        <v>35522.856429589236</v>
      </c>
      <c r="M26" s="1" t="str">
        <f>IF($B$2="Engorde",INDEX(Datos!$F$21:$T$59,MATCH($B26,Datos!$F$21:$F$59,0),MATCH(N$6,Datos!$F$21:$T$21,0)),"")</f>
        <v/>
      </c>
      <c r="N26" s="102">
        <f>('Reporte AN'!I46*N$7)</f>
        <v>35476.501390060621</v>
      </c>
      <c r="O26" s="1" t="str">
        <f>IF($B$2="Engorde",INDEX(Datos!$F$21:$T$59,MATCH($B26,Datos!$F$21:$F$59,0),MATCH(P$6,Datos!$F$21:$T$21,0)),"")</f>
        <v/>
      </c>
      <c r="P26" s="102">
        <f>('Reporte AN'!J46*P$7)</f>
        <v>35847.257614651637</v>
      </c>
      <c r="Q26" s="1" t="str">
        <f>IF($B$2="Engorde",INDEX(Datos!$F$21:$T$59,MATCH($B26,Datos!$F$21:$F$59,0),MATCH(R$6,Datos!$F$21:$T$21,0)),"")</f>
        <v/>
      </c>
      <c r="R26" s="102">
        <f>('Reporte AN'!K46*R$7)</f>
        <v>35916.707007740908</v>
      </c>
      <c r="S26" s="1" t="str">
        <f>IF($B$2="Engorde",INDEX(Datos!$F$21:$T$59,MATCH($B26,Datos!$F$21:$F$59,0),MATCH(T$6,Datos!$F$21:$T$21,0)),"")</f>
        <v/>
      </c>
      <c r="T26" s="102">
        <f>('Reporte AN'!L46*T$7)</f>
        <v>28970.676497304754</v>
      </c>
      <c r="U26" s="1" t="str">
        <f>IF($B$2="Engorde",INDEX(Datos!$F$21:$T$59,MATCH($B26,Datos!$F$21:$F$59,0),MATCH(V$6,Datos!$F$21:$T$21,0)),"")</f>
        <v/>
      </c>
      <c r="V26" s="102">
        <f>('Reporte AN'!M46*V$7)</f>
        <v>17397.367001331946</v>
      </c>
      <c r="W26" s="1" t="str">
        <f>IF($B$2="Engorde",INDEX(Datos!$F$21:$T$59,MATCH($B26,Datos!$F$21:$F$59,0),MATCH(X$6,Datos!$F$21:$T$21,0)),"")</f>
        <v/>
      </c>
      <c r="X26" s="102">
        <f>('Reporte AN'!N46*X$7)</f>
        <v>6481.8153559216671</v>
      </c>
    </row>
    <row r="27" spans="2:24" x14ac:dyDescent="0.25">
      <c r="B27" s="139">
        <f>IFERROR(INDEX(cuentas,ROW(B18)),"")</f>
        <v>18</v>
      </c>
      <c r="C27" s="1" t="str">
        <f>IF($B$2="Engorde",INDEX(Datos!$F$21:$T$59,MATCH($B27,Datos!$F$21:$F$59,0),MATCH(D$6,Datos!$F$21:$T$21,0)),"")</f>
        <v/>
      </c>
      <c r="D27" s="102">
        <f>('Reporte AN'!D47*D$7)</f>
        <v>0</v>
      </c>
      <c r="E27" s="1" t="str">
        <f>IF($B$2="Engorde",INDEX(Datos!$F$21:$T$59,MATCH($B27,Datos!$F$21:$F$59,0),MATCH(F$6,Datos!$F$21:$T$21,0)),"")</f>
        <v/>
      </c>
      <c r="F27" s="102">
        <f>('Reporte AN'!E47*F$7)</f>
        <v>0</v>
      </c>
      <c r="G27" s="1" t="str">
        <f>IF($B$2="Engorde",INDEX(Datos!$F$21:$T$59,MATCH($B27,Datos!$F$21:$F$59,0),MATCH(H$6,Datos!$F$21:$T$21,0)),"")</f>
        <v/>
      </c>
      <c r="H27" s="102">
        <f>('Reporte AN'!F47*H$7)</f>
        <v>0</v>
      </c>
      <c r="I27" s="1" t="str">
        <f>IF($B$2="Engorde",INDEX(Datos!$F$21:$T$59,MATCH($B27,Datos!$F$21:$F$59,0),MATCH(J$6,Datos!$F$21:$T$21,0)),"")</f>
        <v/>
      </c>
      <c r="J27" s="102">
        <f>('Reporte AN'!G47*J$7)</f>
        <v>0</v>
      </c>
      <c r="K27" s="1" t="str">
        <f>IF($B$2="Engorde",INDEX(Datos!$F$21:$T$59,MATCH($B27,Datos!$F$21:$F$59,0),MATCH(L$6,Datos!$F$21:$T$21,0)),"")</f>
        <v/>
      </c>
      <c r="L27" s="102">
        <f>('Reporte AN'!H47*L$7)</f>
        <v>0</v>
      </c>
      <c r="M27" s="1" t="str">
        <f>IF($B$2="Engorde",INDEX(Datos!$F$21:$T$59,MATCH($B27,Datos!$F$21:$F$59,0),MATCH(N$6,Datos!$F$21:$T$21,0)),"")</f>
        <v/>
      </c>
      <c r="N27" s="102">
        <f>('Reporte AN'!I47*N$7)</f>
        <v>0</v>
      </c>
      <c r="O27" s="1" t="str">
        <f>IF($B$2="Engorde",INDEX(Datos!$F$21:$T$59,MATCH($B27,Datos!$F$21:$F$59,0),MATCH(P$6,Datos!$F$21:$T$21,0)),"")</f>
        <v/>
      </c>
      <c r="P27" s="102">
        <f>('Reporte AN'!J47*P$7)</f>
        <v>0</v>
      </c>
      <c r="Q27" s="1" t="str">
        <f>IF($B$2="Engorde",INDEX(Datos!$F$21:$T$59,MATCH($B27,Datos!$F$21:$F$59,0),MATCH(R$6,Datos!$F$21:$T$21,0)),"")</f>
        <v/>
      </c>
      <c r="R27" s="102">
        <f>('Reporte AN'!K47*R$7)</f>
        <v>40317.379633433258</v>
      </c>
      <c r="S27" s="1" t="str">
        <f>IF($B$2="Engorde",INDEX(Datos!$F$21:$T$59,MATCH($B27,Datos!$F$21:$F$59,0),MATCH(T$6,Datos!$F$21:$T$21,0)),"")</f>
        <v/>
      </c>
      <c r="T27" s="102">
        <f>('Reporte AN'!L47*T$7)</f>
        <v>0</v>
      </c>
      <c r="U27" s="1" t="str">
        <f>IF($B$2="Engorde",INDEX(Datos!$F$21:$T$59,MATCH($B27,Datos!$F$21:$F$59,0),MATCH(V$6,Datos!$F$21:$T$21,0)),"")</f>
        <v/>
      </c>
      <c r="V27" s="102">
        <f>('Reporte AN'!M47*V$7)</f>
        <v>0</v>
      </c>
      <c r="W27" s="1" t="str">
        <f>IF($B$2="Engorde",INDEX(Datos!$F$21:$T$59,MATCH($B27,Datos!$F$21:$F$59,0),MATCH(X$6,Datos!$F$21:$T$21,0)),"")</f>
        <v/>
      </c>
      <c r="X27" s="102">
        <f>('Reporte AN'!N47*X$7)</f>
        <v>0</v>
      </c>
    </row>
    <row r="28" spans="2:24" x14ac:dyDescent="0.25">
      <c r="B28" s="139">
        <f>IFERROR(INDEX(cuentas,ROW(B19)),"")</f>
        <v>19</v>
      </c>
      <c r="C28" s="1" t="str">
        <f>IF($B$2="Engorde",INDEX(Datos!$F$21:$T$59,MATCH($B28,Datos!$F$21:$F$59,0),MATCH(D$6,Datos!$F$21:$T$21,0)),"")</f>
        <v/>
      </c>
      <c r="D28" s="102">
        <f>('Reporte AN'!D48*D$7)</f>
        <v>0</v>
      </c>
      <c r="E28" s="1" t="str">
        <f>IF($B$2="Engorde",INDEX(Datos!$F$21:$T$59,MATCH($B28,Datos!$F$21:$F$59,0),MATCH(F$6,Datos!$F$21:$T$21,0)),"")</f>
        <v/>
      </c>
      <c r="F28" s="102">
        <f>('Reporte AN'!E48*F$7)</f>
        <v>0</v>
      </c>
      <c r="G28" s="1" t="str">
        <f>IF($B$2="Engorde",INDEX(Datos!$F$21:$T$59,MATCH($B28,Datos!$F$21:$F$59,0),MATCH(H$6,Datos!$F$21:$T$21,0)),"")</f>
        <v/>
      </c>
      <c r="H28" s="102">
        <f>('Reporte AN'!F48*H$7)</f>
        <v>0</v>
      </c>
      <c r="I28" s="1" t="str">
        <f>IF($B$2="Engorde",INDEX(Datos!$F$21:$T$59,MATCH($B28,Datos!$F$21:$F$59,0),MATCH(J$6,Datos!$F$21:$T$21,0)),"")</f>
        <v/>
      </c>
      <c r="J28" s="102">
        <f>('Reporte AN'!G48*J$7)</f>
        <v>0</v>
      </c>
      <c r="K28" s="1" t="str">
        <f>IF($B$2="Engorde",INDEX(Datos!$F$21:$T$59,MATCH($B28,Datos!$F$21:$F$59,0),MATCH(L$6,Datos!$F$21:$T$21,0)),"")</f>
        <v/>
      </c>
      <c r="L28" s="102">
        <f>('Reporte AN'!H48*L$7)</f>
        <v>0</v>
      </c>
      <c r="M28" s="1" t="str">
        <f>IF($B$2="Engorde",INDEX(Datos!$F$21:$T$59,MATCH($B28,Datos!$F$21:$F$59,0),MATCH(N$6,Datos!$F$21:$T$21,0)),"")</f>
        <v/>
      </c>
      <c r="N28" s="102">
        <f>('Reporte AN'!I48*N$7)</f>
        <v>0</v>
      </c>
      <c r="O28" s="1" t="str">
        <f>IF($B$2="Engorde",INDEX(Datos!$F$21:$T$59,MATCH($B28,Datos!$F$21:$F$59,0),MATCH(P$6,Datos!$F$21:$T$21,0)),"")</f>
        <v/>
      </c>
      <c r="P28" s="102">
        <f>('Reporte AN'!J48*P$7)</f>
        <v>0</v>
      </c>
      <c r="Q28" s="1" t="str">
        <f>IF($B$2="Engorde",INDEX(Datos!$F$21:$T$59,MATCH($B28,Datos!$F$21:$F$59,0),MATCH(R$6,Datos!$F$21:$T$21,0)),"")</f>
        <v/>
      </c>
      <c r="R28" s="102">
        <f>('Reporte AN'!K48*R$7)</f>
        <v>0</v>
      </c>
      <c r="S28" s="1" t="str">
        <f>IF($B$2="Engorde",INDEX(Datos!$F$21:$T$59,MATCH($B28,Datos!$F$21:$F$59,0),MATCH(T$6,Datos!$F$21:$T$21,0)),"")</f>
        <v/>
      </c>
      <c r="T28" s="102">
        <f>('Reporte AN'!L48*T$7)</f>
        <v>0</v>
      </c>
      <c r="U28" s="1" t="str">
        <f>IF($B$2="Engorde",INDEX(Datos!$F$21:$T$59,MATCH($B28,Datos!$F$21:$F$59,0),MATCH(V$6,Datos!$F$21:$T$21,0)),"")</f>
        <v/>
      </c>
      <c r="V28" s="102">
        <f>('Reporte AN'!M48*V$7)</f>
        <v>37247.33842382727</v>
      </c>
      <c r="W28" s="1" t="str">
        <f>IF($B$2="Engorde",INDEX(Datos!$F$21:$T$59,MATCH($B28,Datos!$F$21:$F$59,0),MATCH(X$6,Datos!$F$21:$T$21,0)),"")</f>
        <v/>
      </c>
      <c r="X28" s="102">
        <f>('Reporte AN'!N48*X$7)</f>
        <v>0</v>
      </c>
    </row>
    <row r="29" spans="2:24" x14ac:dyDescent="0.25">
      <c r="B29" s="139">
        <f>IFERROR(INDEX(cuentas,ROW(B20)),"")</f>
        <v>20</v>
      </c>
      <c r="C29" s="1" t="str">
        <f>IF($B$2="Engorde",INDEX(Datos!$F$21:$T$59,MATCH($B29,Datos!$F$21:$F$59,0),MATCH(D$6,Datos!$F$21:$T$21,0)),"")</f>
        <v/>
      </c>
      <c r="D29" s="102">
        <f>('Reporte AN'!D49*D$7)</f>
        <v>416666</v>
      </c>
      <c r="E29" s="1" t="str">
        <f>IF($B$2="Engorde",INDEX(Datos!$F$21:$T$59,MATCH($B29,Datos!$F$21:$F$59,0),MATCH(F$6,Datos!$F$21:$T$21,0)),"")</f>
        <v/>
      </c>
      <c r="F29" s="102">
        <f>('Reporte AN'!E49*F$7)</f>
        <v>0</v>
      </c>
      <c r="G29" s="1" t="str">
        <f>IF($B$2="Engorde",INDEX(Datos!$F$21:$T$59,MATCH($B29,Datos!$F$21:$F$59,0),MATCH(H$6,Datos!$F$21:$T$21,0)),"")</f>
        <v/>
      </c>
      <c r="H29" s="102">
        <f>('Reporte AN'!F49*H$7)</f>
        <v>0</v>
      </c>
      <c r="I29" s="1" t="str">
        <f>IF($B$2="Engorde",INDEX(Datos!$F$21:$T$59,MATCH($B29,Datos!$F$21:$F$59,0),MATCH(J$6,Datos!$F$21:$T$21,0)),"")</f>
        <v/>
      </c>
      <c r="J29" s="102">
        <f>('Reporte AN'!G49*J$7)</f>
        <v>0</v>
      </c>
      <c r="K29" s="1" t="str">
        <f>IF($B$2="Engorde",INDEX(Datos!$F$21:$T$59,MATCH($B29,Datos!$F$21:$F$59,0),MATCH(L$6,Datos!$F$21:$T$21,0)),"")</f>
        <v/>
      </c>
      <c r="L29" s="102">
        <f>('Reporte AN'!H49*L$7)</f>
        <v>197357.19262260594</v>
      </c>
      <c r="M29" s="1" t="str">
        <f>IF($B$2="Engorde",INDEX(Datos!$F$21:$T$59,MATCH($B29,Datos!$F$21:$F$59,0),MATCH(N$6,Datos!$F$21:$T$21,0)),"")</f>
        <v/>
      </c>
      <c r="N29" s="102">
        <f>('Reporte AN'!I49*N$7)</f>
        <v>197099.65419848144</v>
      </c>
      <c r="O29" s="1" t="str">
        <f>IF($B$2="Engorde",INDEX(Datos!$F$21:$T$59,MATCH($B29,Datos!$F$21:$F$59,0),MATCH(P$6,Datos!$F$21:$T$21,0)),"")</f>
        <v/>
      </c>
      <c r="P29" s="102">
        <f>('Reporte AN'!J49*P$7)</f>
        <v>199159.49439679639</v>
      </c>
      <c r="Q29" s="1" t="str">
        <f>IF($B$2="Engorde",INDEX(Datos!$F$21:$T$59,MATCH($B29,Datos!$F$21:$F$59,0),MATCH(R$6,Datos!$F$21:$T$21,0)),"")</f>
        <v/>
      </c>
      <c r="R29" s="102">
        <f>('Reporte AN'!K49*R$7)</f>
        <v>1122185.9738360774</v>
      </c>
      <c r="S29" s="1" t="str">
        <f>IF($B$2="Engorde",INDEX(Datos!$F$21:$T$59,MATCH($B29,Datos!$F$21:$F$59,0),MATCH(T$6,Datos!$F$21:$T$21,0)),"")</f>
        <v/>
      </c>
      <c r="T29" s="102">
        <f>('Reporte AN'!L49*T$7)</f>
        <v>556810.04286140529</v>
      </c>
      <c r="U29" s="1" t="str">
        <f>IF($B$2="Engorde",INDEX(Datos!$F$21:$T$59,MATCH($B29,Datos!$F$21:$F$59,0),MATCH(V$6,Datos!$F$21:$T$21,0)),"")</f>
        <v/>
      </c>
      <c r="V29" s="102">
        <f>('Reporte AN'!M49*V$7)</f>
        <v>145772.75026717258</v>
      </c>
      <c r="W29" s="1" t="str">
        <f>IF($B$2="Engorde",INDEX(Datos!$F$21:$T$59,MATCH($B29,Datos!$F$21:$F$59,0),MATCH(X$6,Datos!$F$21:$T$21,0)),"")</f>
        <v/>
      </c>
      <c r="X29" s="102">
        <f>('Reporte AN'!N49*X$7)</f>
        <v>36011.543279983627</v>
      </c>
    </row>
    <row r="30" spans="2:24" x14ac:dyDescent="0.25">
      <c r="B30" s="139">
        <f>IFERROR(INDEX(cuentas,ROW(B21)),"")</f>
        <v>21</v>
      </c>
      <c r="C30" s="1" t="str">
        <f>IF($B$2="Engorde",INDEX(Datos!$F$21:$T$59,MATCH($B30,Datos!$F$21:$F$59,0),MATCH(D$6,Datos!$F$21:$T$21,0)),"")</f>
        <v/>
      </c>
      <c r="D30" s="102">
        <f>('Reporte AN'!D50*D$7)</f>
        <v>0</v>
      </c>
      <c r="E30" s="1" t="str">
        <f>IF($B$2="Engorde",INDEX(Datos!$F$21:$T$59,MATCH($B30,Datos!$F$21:$F$59,0),MATCH(F$6,Datos!$F$21:$T$21,0)),"")</f>
        <v/>
      </c>
      <c r="F30" s="102">
        <f>('Reporte AN'!E50*F$7)</f>
        <v>0</v>
      </c>
      <c r="G30" s="1" t="str">
        <f>IF($B$2="Engorde",INDEX(Datos!$F$21:$T$59,MATCH($B30,Datos!$F$21:$F$59,0),MATCH(H$6,Datos!$F$21:$T$21,0)),"")</f>
        <v/>
      </c>
      <c r="H30" s="102">
        <f>('Reporte AN'!F50*H$7)</f>
        <v>277778</v>
      </c>
      <c r="I30" s="1" t="str">
        <f>IF($B$2="Engorde",INDEX(Datos!$F$21:$T$59,MATCH($B30,Datos!$F$21:$F$59,0),MATCH(J$6,Datos!$F$21:$T$21,0)),"")</f>
        <v/>
      </c>
      <c r="J30" s="102">
        <f>('Reporte AN'!G50*J$7)</f>
        <v>0</v>
      </c>
      <c r="K30" s="1" t="str">
        <f>IF($B$2="Engorde",INDEX(Datos!$F$21:$T$59,MATCH($B30,Datos!$F$21:$F$59,0),MATCH(L$6,Datos!$F$21:$T$21,0)),"")</f>
        <v/>
      </c>
      <c r="L30" s="102">
        <f>('Reporte AN'!H50*L$7)</f>
        <v>0</v>
      </c>
      <c r="M30" s="1" t="str">
        <f>IF($B$2="Engorde",INDEX(Datos!$F$21:$T$59,MATCH($B30,Datos!$F$21:$F$59,0),MATCH(N$6,Datos!$F$21:$T$21,0)),"")</f>
        <v/>
      </c>
      <c r="N30" s="102">
        <f>('Reporte AN'!I50*N$7)</f>
        <v>0</v>
      </c>
      <c r="O30" s="1" t="str">
        <f>IF($B$2="Engorde",INDEX(Datos!$F$21:$T$59,MATCH($B30,Datos!$F$21:$F$59,0),MATCH(P$6,Datos!$F$21:$T$21,0)),"")</f>
        <v/>
      </c>
      <c r="P30" s="102">
        <f>('Reporte AN'!J50*P$7)</f>
        <v>0</v>
      </c>
      <c r="Q30" s="1" t="str">
        <f>IF($B$2="Engorde",INDEX(Datos!$F$21:$T$59,MATCH($B30,Datos!$F$21:$F$59,0),MATCH(R$6,Datos!$F$21:$T$21,0)),"")</f>
        <v/>
      </c>
      <c r="R30" s="102">
        <f>('Reporte AN'!K50*R$7)</f>
        <v>0</v>
      </c>
      <c r="S30" s="1" t="str">
        <f>IF($B$2="Engorde",INDEX(Datos!$F$21:$T$59,MATCH($B30,Datos!$F$21:$F$59,0),MATCH(T$6,Datos!$F$21:$T$21,0)),"")</f>
        <v/>
      </c>
      <c r="T30" s="102">
        <f>('Reporte AN'!L50*T$7)</f>
        <v>0</v>
      </c>
      <c r="U30" s="1" t="str">
        <f>IF($B$2="Engorde",INDEX(Datos!$F$21:$T$59,MATCH($B30,Datos!$F$21:$F$59,0),MATCH(V$6,Datos!$F$21:$T$21,0)),"")</f>
        <v/>
      </c>
      <c r="V30" s="102">
        <f>('Reporte AN'!M50*V$7)</f>
        <v>0</v>
      </c>
      <c r="W30" s="1" t="str">
        <f>IF($B$2="Engorde",INDEX(Datos!$F$21:$T$59,MATCH($B30,Datos!$F$21:$F$59,0),MATCH(X$6,Datos!$F$21:$T$21,0)),"")</f>
        <v/>
      </c>
      <c r="X30" s="102">
        <f>('Reporte AN'!N50*X$7)</f>
        <v>0</v>
      </c>
    </row>
    <row r="31" spans="2:24" x14ac:dyDescent="0.25">
      <c r="B31" s="139">
        <f>IFERROR(INDEX(cuentas,ROW(B22)),"")</f>
        <v>22</v>
      </c>
      <c r="C31" s="1" t="str">
        <f>IF($B$2="Engorde",INDEX(Datos!$F$21:$T$59,MATCH($B31,Datos!$F$21:$F$59,0),MATCH(D$6,Datos!$F$21:$T$21,0)),"")</f>
        <v/>
      </c>
      <c r="D31" s="102">
        <f>('Reporte AN'!D51*D$7)</f>
        <v>0</v>
      </c>
      <c r="E31" s="1" t="str">
        <f>IF($B$2="Engorde",INDEX(Datos!$F$21:$T$59,MATCH($B31,Datos!$F$21:$F$59,0),MATCH(F$6,Datos!$F$21:$T$21,0)),"")</f>
        <v/>
      </c>
      <c r="F31" s="102">
        <f>('Reporte AN'!E51*F$7)</f>
        <v>13010</v>
      </c>
      <c r="G31" s="1" t="str">
        <f>IF($B$2="Engorde",INDEX(Datos!$F$21:$T$59,MATCH($B31,Datos!$F$21:$F$59,0),MATCH(H$6,Datos!$F$21:$T$21,0)),"")</f>
        <v/>
      </c>
      <c r="H31" s="102">
        <f>('Reporte AN'!F51*H$7)</f>
        <v>2250</v>
      </c>
      <c r="I31" s="1" t="str">
        <f>IF($B$2="Engorde",INDEX(Datos!$F$21:$T$59,MATCH($B31,Datos!$F$21:$F$59,0),MATCH(J$6,Datos!$F$21:$T$21,0)),"")</f>
        <v/>
      </c>
      <c r="J31" s="102">
        <f>('Reporte AN'!G51*J$7)</f>
        <v>3500</v>
      </c>
      <c r="K31" s="1" t="str">
        <f>IF($B$2="Engorde",INDEX(Datos!$F$21:$T$59,MATCH($B31,Datos!$F$21:$F$59,0),MATCH(L$6,Datos!$F$21:$T$21,0)),"")</f>
        <v/>
      </c>
      <c r="L31" s="102">
        <f>('Reporte AN'!H51*L$7)</f>
        <v>5616.9433715372443</v>
      </c>
      <c r="M31" s="1" t="str">
        <f>IF($B$2="Engorde",INDEX(Datos!$F$21:$T$59,MATCH($B31,Datos!$F$21:$F$59,0),MATCH(N$6,Datos!$F$21:$T$21,0)),"")</f>
        <v/>
      </c>
      <c r="N31" s="102">
        <f>('Reporte AN'!I51*N$7)</f>
        <v>9983.1740192152301</v>
      </c>
      <c r="O31" s="1" t="str">
        <f>IF($B$2="Engorde",INDEX(Datos!$F$21:$T$59,MATCH($B31,Datos!$F$21:$F$59,0),MATCH(P$6,Datos!$F$21:$T$21,0)),"")</f>
        <v/>
      </c>
      <c r="P31" s="102">
        <f>('Reporte AN'!J51*P$7)</f>
        <v>1965.4789053106556</v>
      </c>
      <c r="Q31" s="1" t="str">
        <f>IF($B$2="Engorde",INDEX(Datos!$F$21:$T$59,MATCH($B31,Datos!$F$21:$F$59,0),MATCH(R$6,Datos!$F$21:$T$21,0)),"")</f>
        <v/>
      </c>
      <c r="R31" s="102">
        <f>('Reporte AN'!K51*R$7)</f>
        <v>6542.5347874954377</v>
      </c>
      <c r="S31" s="1" t="str">
        <f>IF($B$2="Engorde",INDEX(Datos!$F$21:$T$59,MATCH($B31,Datos!$F$21:$F$59,0),MATCH(T$6,Datos!$F$21:$T$21,0)),"")</f>
        <v/>
      </c>
      <c r="T31" s="102">
        <f>('Reporte AN'!L51*T$7)</f>
        <v>0</v>
      </c>
      <c r="U31" s="1" t="str">
        <f>IF($B$2="Engorde",INDEX(Datos!$F$21:$T$59,MATCH($B31,Datos!$F$21:$F$59,0),MATCH(V$6,Datos!$F$21:$T$21,0)),"")</f>
        <v/>
      </c>
      <c r="V31" s="102">
        <f>('Reporte AN'!M51*V$7)</f>
        <v>1032.3852174205031</v>
      </c>
      <c r="W31" s="1" t="str">
        <f>IF($B$2="Engorde",INDEX(Datos!$F$21:$T$59,MATCH($B31,Datos!$F$21:$F$59,0),MATCH(X$6,Datos!$F$21:$T$21,0)),"")</f>
        <v/>
      </c>
      <c r="X31" s="102">
        <f>('Reporte AN'!N51*X$7)</f>
        <v>0</v>
      </c>
    </row>
    <row r="32" spans="2:24" x14ac:dyDescent="0.25">
      <c r="B32" s="139">
        <f>IFERROR(INDEX(cuentas,ROW(B23)),"")</f>
        <v>23</v>
      </c>
      <c r="C32" s="1" t="str">
        <f>IF($B$2="Engorde",INDEX(Datos!$F$21:$T$59,MATCH($B32,Datos!$F$21:$F$59,0),MATCH(D$6,Datos!$F$21:$T$21,0)),"")</f>
        <v/>
      </c>
      <c r="D32" s="102">
        <f>('Reporte AN'!D52*D$7)</f>
        <v>8595</v>
      </c>
      <c r="E32" s="1" t="str">
        <f>IF($B$2="Engorde",INDEX(Datos!$F$21:$T$59,MATCH($B32,Datos!$F$21:$F$59,0),MATCH(F$6,Datos!$F$21:$T$21,0)),"")</f>
        <v/>
      </c>
      <c r="F32" s="102">
        <f>('Reporte AN'!E52*F$7)</f>
        <v>415397</v>
      </c>
      <c r="G32" s="1" t="str">
        <f>IF($B$2="Engorde",INDEX(Datos!$F$21:$T$59,MATCH($B32,Datos!$F$21:$F$59,0),MATCH(H$6,Datos!$F$21:$T$21,0)),"")</f>
        <v/>
      </c>
      <c r="H32" s="102">
        <f>('Reporte AN'!F52*H$7)</f>
        <v>213781</v>
      </c>
      <c r="I32" s="1" t="str">
        <f>IF($B$2="Engorde",INDEX(Datos!$F$21:$T$59,MATCH($B32,Datos!$F$21:$F$59,0),MATCH(J$6,Datos!$F$21:$T$21,0)),"")</f>
        <v/>
      </c>
      <c r="J32" s="102">
        <f>('Reporte AN'!G52*J$7)</f>
        <v>415831</v>
      </c>
      <c r="K32" s="1" t="str">
        <f>IF($B$2="Engorde",INDEX(Datos!$F$21:$T$59,MATCH($B32,Datos!$F$21:$F$59,0),MATCH(L$6,Datos!$F$21:$T$21,0)),"")</f>
        <v/>
      </c>
      <c r="L32" s="102">
        <f>('Reporte AN'!H52*L$7)</f>
        <v>162590.71311162724</v>
      </c>
      <c r="M32" s="1" t="str">
        <f>IF($B$2="Engorde",INDEX(Datos!$F$21:$T$59,MATCH($B32,Datos!$F$21:$F$59,0),MATCH(N$6,Datos!$F$21:$T$21,0)),"")</f>
        <v/>
      </c>
      <c r="N32" s="102">
        <f>('Reporte AN'!I52*N$7)</f>
        <v>128797.00565635423</v>
      </c>
      <c r="O32" s="1" t="str">
        <f>IF($B$2="Engorde",INDEX(Datos!$F$21:$T$59,MATCH($B32,Datos!$F$21:$F$59,0),MATCH(P$6,Datos!$F$21:$T$21,0)),"")</f>
        <v/>
      </c>
      <c r="P32" s="102">
        <f>('Reporte AN'!J52*P$7)</f>
        <v>117625.34411394948</v>
      </c>
      <c r="Q32" s="1" t="str">
        <f>IF($B$2="Engorde",INDEX(Datos!$F$21:$T$59,MATCH($B32,Datos!$F$21:$F$59,0),MATCH(R$6,Datos!$F$21:$T$21,0)),"")</f>
        <v/>
      </c>
      <c r="R32" s="102">
        <f>('Reporte AN'!K52*R$7)</f>
        <v>98935.635513176647</v>
      </c>
      <c r="S32" s="1" t="str">
        <f>IF($B$2="Engorde",INDEX(Datos!$F$21:$T$59,MATCH($B32,Datos!$F$21:$F$59,0),MATCH(T$6,Datos!$F$21:$T$21,0)),"")</f>
        <v/>
      </c>
      <c r="T32" s="102">
        <f>('Reporte AN'!L52*T$7)</f>
        <v>151300.77121090566</v>
      </c>
      <c r="U32" s="1" t="str">
        <f>IF($B$2="Engorde",INDEX(Datos!$F$21:$T$59,MATCH($B32,Datos!$F$21:$F$59,0),MATCH(V$6,Datos!$F$21:$T$21,0)),"")</f>
        <v/>
      </c>
      <c r="V32" s="102">
        <f>('Reporte AN'!M52*V$7)</f>
        <v>71912.0165000056</v>
      </c>
      <c r="W32" s="1" t="str">
        <f>IF($B$2="Engorde",INDEX(Datos!$F$21:$T$59,MATCH($B32,Datos!$F$21:$F$59,0),MATCH(X$6,Datos!$F$21:$T$21,0)),"")</f>
        <v/>
      </c>
      <c r="X32" s="102">
        <f>('Reporte AN'!N52*X$7)</f>
        <v>30503.027832323711</v>
      </c>
    </row>
    <row r="33" spans="2:24" x14ac:dyDescent="0.25">
      <c r="B33" s="139">
        <f>IFERROR(INDEX(cuentas,ROW(B24)),"")</f>
        <v>24</v>
      </c>
      <c r="C33" s="1" t="str">
        <f>IF($B$2="Engorde",INDEX(Datos!$F$21:$T$59,MATCH($B33,Datos!$F$21:$F$59,0),MATCH(D$6,Datos!$F$21:$T$21,0)),"")</f>
        <v/>
      </c>
      <c r="D33" s="102">
        <f>('Reporte AN'!D53*D$7)</f>
        <v>0</v>
      </c>
      <c r="E33" s="1" t="str">
        <f>IF($B$2="Engorde",INDEX(Datos!$F$21:$T$59,MATCH($B33,Datos!$F$21:$F$59,0),MATCH(F$6,Datos!$F$21:$T$21,0)),"")</f>
        <v/>
      </c>
      <c r="F33" s="102">
        <f>('Reporte AN'!E53*F$7)</f>
        <v>36296</v>
      </c>
      <c r="G33" s="1" t="str">
        <f>IF($B$2="Engorde",INDEX(Datos!$F$21:$T$59,MATCH($B33,Datos!$F$21:$F$59,0),MATCH(H$6,Datos!$F$21:$T$21,0)),"")</f>
        <v/>
      </c>
      <c r="H33" s="102">
        <f>('Reporte AN'!F53*H$7)</f>
        <v>5500</v>
      </c>
      <c r="I33" s="1" t="str">
        <f>IF($B$2="Engorde",INDEX(Datos!$F$21:$T$59,MATCH($B33,Datos!$F$21:$F$59,0),MATCH(J$6,Datos!$F$21:$T$21,0)),"")</f>
        <v/>
      </c>
      <c r="J33" s="102">
        <f>('Reporte AN'!G53*J$7)</f>
        <v>130706</v>
      </c>
      <c r="K33" s="1" t="str">
        <f>IF($B$2="Engorde",INDEX(Datos!$F$21:$T$59,MATCH($B33,Datos!$F$21:$F$59,0),MATCH(L$6,Datos!$F$21:$T$21,0)),"")</f>
        <v/>
      </c>
      <c r="L33" s="102">
        <f>('Reporte AN'!H53*L$7)</f>
        <v>0</v>
      </c>
      <c r="M33" s="1" t="str">
        <f>IF($B$2="Engorde",INDEX(Datos!$F$21:$T$59,MATCH($B33,Datos!$F$21:$F$59,0),MATCH(N$6,Datos!$F$21:$T$21,0)),"")</f>
        <v/>
      </c>
      <c r="N33" s="102">
        <f>('Reporte AN'!I53*N$7)</f>
        <v>2755.9184616425141</v>
      </c>
      <c r="O33" s="1" t="str">
        <f>IF($B$2="Engorde",INDEX(Datos!$F$21:$T$59,MATCH($B33,Datos!$F$21:$F$59,0),MATCH(P$6,Datos!$F$21:$T$21,0)),"")</f>
        <v/>
      </c>
      <c r="P33" s="102">
        <f>('Reporte AN'!J53*P$7)</f>
        <v>0</v>
      </c>
      <c r="Q33" s="1" t="str">
        <f>IF($B$2="Engorde",INDEX(Datos!$F$21:$T$59,MATCH($B33,Datos!$F$21:$F$59,0),MATCH(R$6,Datos!$F$21:$T$21,0)),"")</f>
        <v/>
      </c>
      <c r="R33" s="102">
        <f>('Reporte AN'!K53*R$7)</f>
        <v>0</v>
      </c>
      <c r="S33" s="1" t="str">
        <f>IF($B$2="Engorde",INDEX(Datos!$F$21:$T$59,MATCH($B33,Datos!$F$21:$F$59,0),MATCH(T$6,Datos!$F$21:$T$21,0)),"")</f>
        <v/>
      </c>
      <c r="T33" s="102">
        <f>('Reporte AN'!L53*T$7)</f>
        <v>5091.4197439348636</v>
      </c>
      <c r="U33" s="1" t="str">
        <f>IF($B$2="Engorde",INDEX(Datos!$F$21:$T$59,MATCH($B33,Datos!$F$21:$F$59,0),MATCH(V$6,Datos!$F$21:$T$21,0)),"")</f>
        <v/>
      </c>
      <c r="V33" s="102">
        <f>('Reporte AN'!M53*V$7)</f>
        <v>0</v>
      </c>
      <c r="W33" s="1" t="str">
        <f>IF($B$2="Engorde",INDEX(Datos!$F$21:$T$59,MATCH($B33,Datos!$F$21:$F$59,0),MATCH(X$6,Datos!$F$21:$T$21,0)),"")</f>
        <v/>
      </c>
      <c r="X33" s="102">
        <f>('Reporte AN'!N53*X$7)</f>
        <v>0</v>
      </c>
    </row>
    <row r="34" spans="2:24" x14ac:dyDescent="0.25">
      <c r="B34" s="139">
        <f>IFERROR(INDEX(cuentas,ROW(B25)),"")</f>
        <v>25</v>
      </c>
      <c r="C34" s="1" t="str">
        <f>IF($B$2="Engorde",INDEX(Datos!$F$21:$T$59,MATCH($B34,Datos!$F$21:$F$59,0),MATCH(D$6,Datos!$F$21:$T$21,0)),"")</f>
        <v/>
      </c>
      <c r="D34" s="102">
        <f>('Reporte AN'!D54*D$7)</f>
        <v>0</v>
      </c>
      <c r="E34" s="1" t="str">
        <f>IF($B$2="Engorde",INDEX(Datos!$F$21:$T$59,MATCH($B34,Datos!$F$21:$F$59,0),MATCH(F$6,Datos!$F$21:$T$21,0)),"")</f>
        <v/>
      </c>
      <c r="F34" s="102">
        <f>('Reporte AN'!E54*F$7)</f>
        <v>0</v>
      </c>
      <c r="G34" s="1" t="str">
        <f>IF($B$2="Engorde",INDEX(Datos!$F$21:$T$59,MATCH($B34,Datos!$F$21:$F$59,0),MATCH(H$6,Datos!$F$21:$T$21,0)),"")</f>
        <v/>
      </c>
      <c r="H34" s="102">
        <f>('Reporte AN'!F54*H$7)</f>
        <v>0</v>
      </c>
      <c r="I34" s="1" t="str">
        <f>IF($B$2="Engorde",INDEX(Datos!$F$21:$T$59,MATCH($B34,Datos!$F$21:$F$59,0),MATCH(J$6,Datos!$F$21:$T$21,0)),"")</f>
        <v/>
      </c>
      <c r="J34" s="102">
        <f>('Reporte AN'!G54*J$7)</f>
        <v>2700</v>
      </c>
      <c r="K34" s="1" t="str">
        <f>IF($B$2="Engorde",INDEX(Datos!$F$21:$T$59,MATCH($B34,Datos!$F$21:$F$59,0),MATCH(L$6,Datos!$F$21:$T$21,0)),"")</f>
        <v/>
      </c>
      <c r="L34" s="102">
        <f>('Reporte AN'!H54*L$7)</f>
        <v>0</v>
      </c>
      <c r="M34" s="1" t="str">
        <f>IF($B$2="Engorde",INDEX(Datos!$F$21:$T$59,MATCH($B34,Datos!$F$21:$F$59,0),MATCH(N$6,Datos!$F$21:$T$21,0)),"")</f>
        <v/>
      </c>
      <c r="N34" s="102">
        <f>('Reporte AN'!I54*N$7)</f>
        <v>0</v>
      </c>
      <c r="O34" s="1" t="str">
        <f>IF($B$2="Engorde",INDEX(Datos!$F$21:$T$59,MATCH($B34,Datos!$F$21:$F$59,0),MATCH(P$6,Datos!$F$21:$T$21,0)),"")</f>
        <v/>
      </c>
      <c r="P34" s="102">
        <f>('Reporte AN'!J54*P$7)</f>
        <v>0</v>
      </c>
      <c r="Q34" s="1" t="str">
        <f>IF($B$2="Engorde",INDEX(Datos!$F$21:$T$59,MATCH($B34,Datos!$F$21:$F$59,0),MATCH(R$6,Datos!$F$21:$T$21,0)),"")</f>
        <v/>
      </c>
      <c r="R34" s="102">
        <f>('Reporte AN'!K54*R$7)</f>
        <v>0</v>
      </c>
      <c r="S34" s="1" t="str">
        <f>IF($B$2="Engorde",INDEX(Datos!$F$21:$T$59,MATCH($B34,Datos!$F$21:$F$59,0),MATCH(T$6,Datos!$F$21:$T$21,0)),"")</f>
        <v/>
      </c>
      <c r="T34" s="102">
        <f>('Reporte AN'!L54*T$7)</f>
        <v>0</v>
      </c>
      <c r="U34" s="1" t="str">
        <f>IF($B$2="Engorde",INDEX(Datos!$F$21:$T$59,MATCH($B34,Datos!$F$21:$F$59,0),MATCH(V$6,Datos!$F$21:$T$21,0)),"")</f>
        <v/>
      </c>
      <c r="V34" s="102">
        <f>('Reporte AN'!M54*V$7)</f>
        <v>0</v>
      </c>
      <c r="W34" s="1" t="str">
        <f>IF($B$2="Engorde",INDEX(Datos!$F$21:$T$59,MATCH($B34,Datos!$F$21:$F$59,0),MATCH(X$6,Datos!$F$21:$T$21,0)),"")</f>
        <v/>
      </c>
      <c r="X34" s="102">
        <f>('Reporte AN'!N54*X$7)</f>
        <v>0</v>
      </c>
    </row>
    <row r="35" spans="2:24" x14ac:dyDescent="0.25">
      <c r="B35" s="139">
        <f>IFERROR(INDEX(cuentas,ROW(B26)),"")</f>
        <v>26</v>
      </c>
      <c r="C35" s="1" t="str">
        <f>IF($B$2="Engorde",INDEX(Datos!$F$21:$T$59,MATCH($B35,Datos!$F$21:$F$59,0),MATCH(D$6,Datos!$F$21:$T$21,0)),"")</f>
        <v/>
      </c>
      <c r="D35" s="102">
        <f>('Reporte AN'!D55*D$7)</f>
        <v>0</v>
      </c>
      <c r="E35" s="1" t="str">
        <f>IF($B$2="Engorde",INDEX(Datos!$F$21:$T$59,MATCH($B35,Datos!$F$21:$F$59,0),MATCH(F$6,Datos!$F$21:$T$21,0)),"")</f>
        <v/>
      </c>
      <c r="F35" s="102">
        <f>('Reporte AN'!E55*F$7)</f>
        <v>0</v>
      </c>
      <c r="G35" s="1" t="str">
        <f>IF($B$2="Engorde",INDEX(Datos!$F$21:$T$59,MATCH($B35,Datos!$F$21:$F$59,0),MATCH(H$6,Datos!$F$21:$T$21,0)),"")</f>
        <v/>
      </c>
      <c r="H35" s="102">
        <f>('Reporte AN'!F55*H$7)</f>
        <v>0</v>
      </c>
      <c r="I35" s="1" t="str">
        <f>IF($B$2="Engorde",INDEX(Datos!$F$21:$T$59,MATCH($B35,Datos!$F$21:$F$59,0),MATCH(J$6,Datos!$F$21:$T$21,0)),"")</f>
        <v/>
      </c>
      <c r="J35" s="102">
        <f>('Reporte AN'!G55*J$7)</f>
        <v>10450</v>
      </c>
      <c r="K35" s="1" t="str">
        <f>IF($B$2="Engorde",INDEX(Datos!$F$21:$T$59,MATCH($B35,Datos!$F$21:$F$59,0),MATCH(L$6,Datos!$F$21:$T$21,0)),"")</f>
        <v/>
      </c>
      <c r="L35" s="102">
        <f>('Reporte AN'!H55*L$7)</f>
        <v>0</v>
      </c>
      <c r="M35" s="1" t="str">
        <f>IF($B$2="Engorde",INDEX(Datos!$F$21:$T$59,MATCH($B35,Datos!$F$21:$F$59,0),MATCH(N$6,Datos!$F$21:$T$21,0)),"")</f>
        <v/>
      </c>
      <c r="N35" s="102">
        <f>('Reporte AN'!I55*N$7)</f>
        <v>0</v>
      </c>
      <c r="O35" s="1" t="str">
        <f>IF($B$2="Engorde",INDEX(Datos!$F$21:$T$59,MATCH($B35,Datos!$F$21:$F$59,0),MATCH(P$6,Datos!$F$21:$T$21,0)),"")</f>
        <v/>
      </c>
      <c r="P35" s="102">
        <f>('Reporte AN'!J55*P$7)</f>
        <v>0</v>
      </c>
      <c r="Q35" s="1" t="str">
        <f>IF($B$2="Engorde",INDEX(Datos!$F$21:$T$59,MATCH($B35,Datos!$F$21:$F$59,0),MATCH(R$6,Datos!$F$21:$T$21,0)),"")</f>
        <v/>
      </c>
      <c r="R35" s="102">
        <f>('Reporte AN'!K55*R$7)</f>
        <v>0</v>
      </c>
      <c r="S35" s="1" t="str">
        <f>IF($B$2="Engorde",INDEX(Datos!$F$21:$T$59,MATCH($B35,Datos!$F$21:$F$59,0),MATCH(T$6,Datos!$F$21:$T$21,0)),"")</f>
        <v/>
      </c>
      <c r="T35" s="102">
        <f>('Reporte AN'!L55*T$7)</f>
        <v>16344.054456607502</v>
      </c>
      <c r="U35" s="1" t="str">
        <f>IF($B$2="Engorde",INDEX(Datos!$F$21:$T$59,MATCH($B35,Datos!$F$21:$F$59,0),MATCH(V$6,Datos!$F$21:$T$21,0)),"")</f>
        <v/>
      </c>
      <c r="V35" s="102">
        <f>('Reporte AN'!M55*V$7)</f>
        <v>0</v>
      </c>
      <c r="W35" s="1" t="str">
        <f>IF($B$2="Engorde",INDEX(Datos!$F$21:$T$59,MATCH($B35,Datos!$F$21:$F$59,0),MATCH(X$6,Datos!$F$21:$T$21,0)),"")</f>
        <v/>
      </c>
      <c r="X35" s="102">
        <f>('Reporte AN'!N55*X$7)</f>
        <v>0</v>
      </c>
    </row>
    <row r="36" spans="2:24" x14ac:dyDescent="0.25">
      <c r="B36" s="139">
        <f>IFERROR(INDEX(cuentas,ROW(B27)),"")</f>
        <v>27</v>
      </c>
      <c r="C36" s="1" t="str">
        <f>IF($B$2="Engorde",INDEX(Datos!$F$21:$T$59,MATCH($B36,Datos!$F$21:$F$59,0),MATCH(D$6,Datos!$F$21:$T$21,0)),"")</f>
        <v/>
      </c>
      <c r="D36" s="102">
        <f>('Reporte AN'!D56*D$7)</f>
        <v>0</v>
      </c>
      <c r="E36" s="1" t="str">
        <f>IF($B$2="Engorde",INDEX(Datos!$F$21:$T$59,MATCH($B36,Datos!$F$21:$F$59,0),MATCH(F$6,Datos!$F$21:$T$21,0)),"")</f>
        <v/>
      </c>
      <c r="F36" s="102">
        <f>('Reporte AN'!E56*F$7)</f>
        <v>0</v>
      </c>
      <c r="G36" s="1" t="str">
        <f>IF($B$2="Engorde",INDEX(Datos!$F$21:$T$59,MATCH($B36,Datos!$F$21:$F$59,0),MATCH(H$6,Datos!$F$21:$T$21,0)),"")</f>
        <v/>
      </c>
      <c r="H36" s="102">
        <f>('Reporte AN'!F56*H$7)</f>
        <v>0</v>
      </c>
      <c r="I36" s="1" t="str">
        <f>IF($B$2="Engorde",INDEX(Datos!$F$21:$T$59,MATCH($B36,Datos!$F$21:$F$59,0),MATCH(J$6,Datos!$F$21:$T$21,0)),"")</f>
        <v/>
      </c>
      <c r="J36" s="102">
        <f>('Reporte AN'!G56*J$7)</f>
        <v>0</v>
      </c>
      <c r="K36" s="1" t="str">
        <f>IF($B$2="Engorde",INDEX(Datos!$F$21:$T$59,MATCH($B36,Datos!$F$21:$F$59,0),MATCH(L$6,Datos!$F$21:$T$21,0)),"")</f>
        <v/>
      </c>
      <c r="L36" s="102">
        <f>('Reporte AN'!H56*L$7)</f>
        <v>0</v>
      </c>
      <c r="M36" s="1" t="str">
        <f>IF($B$2="Engorde",INDEX(Datos!$F$21:$T$59,MATCH($B36,Datos!$F$21:$F$59,0),MATCH(N$6,Datos!$F$21:$T$21,0)),"")</f>
        <v/>
      </c>
      <c r="N36" s="102">
        <f>('Reporte AN'!I56*N$7)</f>
        <v>16578.342155679671</v>
      </c>
      <c r="O36" s="1" t="str">
        <f>IF($B$2="Engorde",INDEX(Datos!$F$21:$T$59,MATCH($B36,Datos!$F$21:$F$59,0),MATCH(P$6,Datos!$F$21:$T$21,0)),"")</f>
        <v/>
      </c>
      <c r="P36" s="102">
        <f>('Reporte AN'!J56*P$7)</f>
        <v>0</v>
      </c>
      <c r="Q36" s="1" t="str">
        <f>IF($B$2="Engorde",INDEX(Datos!$F$21:$T$59,MATCH($B36,Datos!$F$21:$F$59,0),MATCH(R$6,Datos!$F$21:$T$21,0)),"")</f>
        <v/>
      </c>
      <c r="R36" s="102">
        <f>('Reporte AN'!K56*R$7)</f>
        <v>0</v>
      </c>
      <c r="S36" s="1" t="str">
        <f>IF($B$2="Engorde",INDEX(Datos!$F$21:$T$59,MATCH($B36,Datos!$F$21:$F$59,0),MATCH(T$6,Datos!$F$21:$T$21,0)),"")</f>
        <v/>
      </c>
      <c r="T36" s="102">
        <f>('Reporte AN'!L56*T$7)</f>
        <v>0</v>
      </c>
      <c r="U36" s="1" t="str">
        <f>IF($B$2="Engorde",INDEX(Datos!$F$21:$T$59,MATCH($B36,Datos!$F$21:$F$59,0),MATCH(V$6,Datos!$F$21:$T$21,0)),"")</f>
        <v/>
      </c>
      <c r="V36" s="102">
        <f>('Reporte AN'!M56*V$7)</f>
        <v>0</v>
      </c>
      <c r="W36" s="1" t="str">
        <f>IF($B$2="Engorde",INDEX(Datos!$F$21:$T$59,MATCH($B36,Datos!$F$21:$F$59,0),MATCH(X$6,Datos!$F$21:$T$21,0)),"")</f>
        <v/>
      </c>
      <c r="X36" s="102">
        <f>('Reporte AN'!N56*X$7)</f>
        <v>0</v>
      </c>
    </row>
    <row r="37" spans="2:24" x14ac:dyDescent="0.25">
      <c r="B37" s="139">
        <f>IFERROR(INDEX(cuentas,ROW(B28)),"")</f>
        <v>28</v>
      </c>
      <c r="C37" s="1" t="str">
        <f>IF($B$2="Engorde",INDEX(Datos!$F$21:$T$59,MATCH($B37,Datos!$F$21:$F$59,0),MATCH(D$6,Datos!$F$21:$T$21,0)),"")</f>
        <v/>
      </c>
      <c r="D37" s="102">
        <f>('Reporte AN'!D57*D$7)</f>
        <v>0</v>
      </c>
      <c r="E37" s="1" t="str">
        <f>IF($B$2="Engorde",INDEX(Datos!$F$21:$T$59,MATCH($B37,Datos!$F$21:$F$59,0),MATCH(F$6,Datos!$F$21:$T$21,0)),"")</f>
        <v/>
      </c>
      <c r="F37" s="102">
        <f>('Reporte AN'!E57*F$7)</f>
        <v>0</v>
      </c>
      <c r="G37" s="1" t="str">
        <f>IF($B$2="Engorde",INDEX(Datos!$F$21:$T$59,MATCH($B37,Datos!$F$21:$F$59,0),MATCH(H$6,Datos!$F$21:$T$21,0)),"")</f>
        <v/>
      </c>
      <c r="H37" s="102">
        <f>('Reporte AN'!F57*H$7)</f>
        <v>0</v>
      </c>
      <c r="I37" s="1" t="str">
        <f>IF($B$2="Engorde",INDEX(Datos!$F$21:$T$59,MATCH($B37,Datos!$F$21:$F$59,0),MATCH(J$6,Datos!$F$21:$T$21,0)),"")</f>
        <v/>
      </c>
      <c r="J37" s="102">
        <f>('Reporte AN'!G57*J$7)</f>
        <v>0</v>
      </c>
      <c r="K37" s="1" t="str">
        <f>IF($B$2="Engorde",INDEX(Datos!$F$21:$T$59,MATCH($B37,Datos!$F$21:$F$59,0),MATCH(L$6,Datos!$F$21:$T$21,0)),"")</f>
        <v/>
      </c>
      <c r="L37" s="102">
        <f>('Reporte AN'!H57*L$7)</f>
        <v>8369.0983336979807</v>
      </c>
      <c r="M37" s="1" t="str">
        <f>IF($B$2="Engorde",INDEX(Datos!$F$21:$T$59,MATCH($B37,Datos!$F$21:$F$59,0),MATCH(N$6,Datos!$F$21:$T$21,0)),"")</f>
        <v/>
      </c>
      <c r="N37" s="102">
        <f>('Reporte AN'!I57*N$7)</f>
        <v>0</v>
      </c>
      <c r="O37" s="1" t="str">
        <f>IF($B$2="Engorde",INDEX(Datos!$F$21:$T$59,MATCH($B37,Datos!$F$21:$F$59,0),MATCH(P$6,Datos!$F$21:$T$21,0)),"")</f>
        <v/>
      </c>
      <c r="P37" s="102">
        <f>('Reporte AN'!J57*P$7)</f>
        <v>0</v>
      </c>
      <c r="Q37" s="1" t="str">
        <f>IF($B$2="Engorde",INDEX(Datos!$F$21:$T$59,MATCH($B37,Datos!$F$21:$F$59,0),MATCH(R$6,Datos!$F$21:$T$21,0)),"")</f>
        <v/>
      </c>
      <c r="R37" s="102">
        <f>('Reporte AN'!K57*R$7)</f>
        <v>11402.678457713646</v>
      </c>
      <c r="S37" s="1" t="str">
        <f>IF($B$2="Engorde",INDEX(Datos!$F$21:$T$59,MATCH($B37,Datos!$F$21:$F$59,0),MATCH(T$6,Datos!$F$21:$T$21,0)),"")</f>
        <v/>
      </c>
      <c r="T37" s="102">
        <f>('Reporte AN'!L57*T$7)</f>
        <v>0</v>
      </c>
      <c r="U37" s="1" t="str">
        <f>IF($B$2="Engorde",INDEX(Datos!$F$21:$T$59,MATCH($B37,Datos!$F$21:$F$59,0),MATCH(V$6,Datos!$F$21:$T$21,0)),"")</f>
        <v/>
      </c>
      <c r="V37" s="102">
        <f>('Reporte AN'!M57*V$7)</f>
        <v>20731.084412209126</v>
      </c>
      <c r="W37" s="1" t="str">
        <f>IF($B$2="Engorde",INDEX(Datos!$F$21:$T$59,MATCH($B37,Datos!$F$21:$F$59,0),MATCH(X$6,Datos!$F$21:$T$21,0)),"")</f>
        <v/>
      </c>
      <c r="X37" s="102">
        <f>('Reporte AN'!N57*X$7)</f>
        <v>0</v>
      </c>
    </row>
    <row r="38" spans="2:24" x14ac:dyDescent="0.25">
      <c r="B38" s="139">
        <f>IFERROR(INDEX(cuentas,ROW(B29)),"")</f>
        <v>29</v>
      </c>
      <c r="C38" s="1" t="str">
        <f>IF($B$2="Engorde",INDEX(Datos!$F$21:$T$59,MATCH($B38,Datos!$F$21:$F$59,0),MATCH(D$6,Datos!$F$21:$T$21,0)),"")</f>
        <v/>
      </c>
      <c r="D38" s="102">
        <f>('Reporte AN'!D58*D$7)</f>
        <v>0</v>
      </c>
      <c r="E38" s="1" t="str">
        <f>IF($B$2="Engorde",INDEX(Datos!$F$21:$T$59,MATCH($B38,Datos!$F$21:$F$59,0),MATCH(F$6,Datos!$F$21:$T$21,0)),"")</f>
        <v/>
      </c>
      <c r="F38" s="102">
        <f>('Reporte AN'!E58*F$7)</f>
        <v>0</v>
      </c>
      <c r="G38" s="1" t="str">
        <f>IF($B$2="Engorde",INDEX(Datos!$F$21:$T$59,MATCH($B38,Datos!$F$21:$F$59,0),MATCH(H$6,Datos!$F$21:$T$21,0)),"")</f>
        <v/>
      </c>
      <c r="H38" s="102">
        <f>('Reporte AN'!F58*H$7)</f>
        <v>0</v>
      </c>
      <c r="I38" s="1" t="str">
        <f>IF($B$2="Engorde",INDEX(Datos!$F$21:$T$59,MATCH($B38,Datos!$F$21:$F$59,0),MATCH(J$6,Datos!$F$21:$T$21,0)),"")</f>
        <v/>
      </c>
      <c r="J38" s="102">
        <f>('Reporte AN'!G58*J$7)</f>
        <v>0</v>
      </c>
      <c r="K38" s="1" t="str">
        <f>IF($B$2="Engorde",INDEX(Datos!$F$21:$T$59,MATCH($B38,Datos!$F$21:$F$59,0),MATCH(L$6,Datos!$F$21:$T$21,0)),"")</f>
        <v/>
      </c>
      <c r="L38" s="102">
        <f>('Reporte AN'!H58*L$7)</f>
        <v>0</v>
      </c>
      <c r="M38" s="1" t="str">
        <f>IF($B$2="Engorde",INDEX(Datos!$F$21:$T$59,MATCH($B38,Datos!$F$21:$F$59,0),MATCH(N$6,Datos!$F$21:$T$21,0)),"")</f>
        <v/>
      </c>
      <c r="N38" s="102">
        <f>('Reporte AN'!I58*N$7)</f>
        <v>32894.936953542427</v>
      </c>
      <c r="O38" s="1" t="str">
        <f>IF($B$2="Engorde",INDEX(Datos!$F$21:$T$59,MATCH($B38,Datos!$F$21:$F$59,0),MATCH(P$6,Datos!$F$21:$T$21,0)),"")</f>
        <v/>
      </c>
      <c r="P38" s="102">
        <f>('Reporte AN'!J58*P$7)</f>
        <v>2204.1691816228481</v>
      </c>
      <c r="Q38" s="1" t="str">
        <f>IF($B$2="Engorde",INDEX(Datos!$F$21:$T$59,MATCH($B38,Datos!$F$21:$F$59,0),MATCH(R$6,Datos!$F$21:$T$21,0)),"")</f>
        <v/>
      </c>
      <c r="R38" s="102">
        <f>('Reporte AN'!K58*R$7)</f>
        <v>0</v>
      </c>
      <c r="S38" s="1" t="str">
        <f>IF($B$2="Engorde",INDEX(Datos!$F$21:$T$59,MATCH($B38,Datos!$F$21:$F$59,0),MATCH(T$6,Datos!$F$21:$T$21,0)),"")</f>
        <v/>
      </c>
      <c r="T38" s="102">
        <f>('Reporte AN'!L58*T$7)</f>
        <v>283762.12347617379</v>
      </c>
      <c r="U38" s="1" t="str">
        <f>IF($B$2="Engorde",INDEX(Datos!$F$21:$T$59,MATCH($B38,Datos!$F$21:$F$59,0),MATCH(V$6,Datos!$F$21:$T$21,0)),"")</f>
        <v/>
      </c>
      <c r="V38" s="102">
        <f>('Reporte AN'!M58*V$7)</f>
        <v>26596.118721780105</v>
      </c>
      <c r="W38" s="1" t="str">
        <f>IF($B$2="Engorde",INDEX(Datos!$F$21:$T$59,MATCH($B38,Datos!$F$21:$F$59,0),MATCH(X$6,Datos!$F$21:$T$21,0)),"")</f>
        <v/>
      </c>
      <c r="X38" s="102">
        <f>('Reporte AN'!N58*X$7)</f>
        <v>35507.937845440007</v>
      </c>
    </row>
    <row r="39" spans="2:24" x14ac:dyDescent="0.25">
      <c r="B39" s="139">
        <f>IFERROR(INDEX(cuentas,ROW(B30)),"")</f>
        <v>30</v>
      </c>
      <c r="C39" s="1" t="str">
        <f>IF($B$2="Engorde",INDEX(Datos!$F$21:$T$59,MATCH($B39,Datos!$F$21:$F$59,0),MATCH(D$6,Datos!$F$21:$T$21,0)),"")</f>
        <v/>
      </c>
      <c r="D39" s="102">
        <f>('Reporte AN'!D59*D$7)</f>
        <v>0</v>
      </c>
      <c r="E39" s="1" t="str">
        <f>IF($B$2="Engorde",INDEX(Datos!$F$21:$T$59,MATCH($B39,Datos!$F$21:$F$59,0),MATCH(F$6,Datos!$F$21:$T$21,0)),"")</f>
        <v/>
      </c>
      <c r="F39" s="102">
        <f>('Reporte AN'!E59*F$7)</f>
        <v>0</v>
      </c>
      <c r="G39" s="1" t="str">
        <f>IF($B$2="Engorde",INDEX(Datos!$F$21:$T$59,MATCH($B39,Datos!$F$21:$F$59,0),MATCH(H$6,Datos!$F$21:$T$21,0)),"")</f>
        <v/>
      </c>
      <c r="H39" s="102">
        <f>('Reporte AN'!F59*H$7)</f>
        <v>0</v>
      </c>
      <c r="I39" s="1" t="str">
        <f>IF($B$2="Engorde",INDEX(Datos!$F$21:$T$59,MATCH($B39,Datos!$F$21:$F$59,0),MATCH(J$6,Datos!$F$21:$T$21,0)),"")</f>
        <v/>
      </c>
      <c r="J39" s="102">
        <f>('Reporte AN'!G59*J$7)</f>
        <v>0</v>
      </c>
      <c r="K39" s="1" t="str">
        <f>IF($B$2="Engorde",INDEX(Datos!$F$21:$T$59,MATCH($B39,Datos!$F$21:$F$59,0),MATCH(L$6,Datos!$F$21:$T$21,0)),"")</f>
        <v/>
      </c>
      <c r="L39" s="102">
        <f>('Reporte AN'!H59*L$7)</f>
        <v>0</v>
      </c>
      <c r="M39" s="1" t="str">
        <f>IF($B$2="Engorde",INDEX(Datos!$F$21:$T$59,MATCH($B39,Datos!$F$21:$F$59,0),MATCH(N$6,Datos!$F$21:$T$21,0)),"")</f>
        <v/>
      </c>
      <c r="N39" s="102">
        <f>('Reporte AN'!I59*N$7)</f>
        <v>0</v>
      </c>
      <c r="O39" s="1" t="str">
        <f>IF($B$2="Engorde",INDEX(Datos!$F$21:$T$59,MATCH($B39,Datos!$F$21:$F$59,0),MATCH(P$6,Datos!$F$21:$T$21,0)),"")</f>
        <v/>
      </c>
      <c r="P39" s="102">
        <f>('Reporte AN'!J59*P$7)</f>
        <v>0</v>
      </c>
      <c r="Q39" s="1" t="str">
        <f>IF($B$2="Engorde",INDEX(Datos!$F$21:$T$59,MATCH($B39,Datos!$F$21:$F$59,0),MATCH(R$6,Datos!$F$21:$T$21,0)),"")</f>
        <v/>
      </c>
      <c r="R39" s="102">
        <f>('Reporte AN'!K59*R$7)</f>
        <v>0</v>
      </c>
      <c r="S39" s="1" t="str">
        <f>IF($B$2="Engorde",INDEX(Datos!$F$21:$T$59,MATCH($B39,Datos!$F$21:$F$59,0),MATCH(T$6,Datos!$F$21:$T$21,0)),"")</f>
        <v/>
      </c>
      <c r="T39" s="102">
        <f>('Reporte AN'!L59*T$7)</f>
        <v>2649.7569967047029</v>
      </c>
      <c r="U39" s="1" t="str">
        <f>IF($B$2="Engorde",INDEX(Datos!$F$21:$T$59,MATCH($B39,Datos!$F$21:$F$59,0),MATCH(V$6,Datos!$F$21:$T$21,0)),"")</f>
        <v/>
      </c>
      <c r="V39" s="102">
        <f>('Reporte AN'!M59*V$7)</f>
        <v>0</v>
      </c>
      <c r="W39" s="1" t="str">
        <f>IF($B$2="Engorde",INDEX(Datos!$F$21:$T$59,MATCH($B39,Datos!$F$21:$F$59,0),MATCH(X$6,Datos!$F$21:$T$21,0)),"")</f>
        <v/>
      </c>
      <c r="X39" s="102">
        <f>('Reporte AN'!N59*X$7)</f>
        <v>1580.9305746150408</v>
      </c>
    </row>
    <row r="40" spans="2:24" x14ac:dyDescent="0.25">
      <c r="B40" s="139">
        <f>IFERROR(INDEX(cuentas,ROW(B31)),"")</f>
        <v>31</v>
      </c>
      <c r="C40" s="1" t="str">
        <f>IF($B$2="Engorde",INDEX(Datos!$F$21:$T$59,MATCH($B40,Datos!$F$21:$F$59,0),MATCH(D$6,Datos!$F$21:$T$21,0)),"")</f>
        <v/>
      </c>
      <c r="D40" s="102">
        <f>('Reporte AN'!D60*D$7)</f>
        <v>0</v>
      </c>
      <c r="E40" s="1" t="str">
        <f>IF($B$2="Engorde",INDEX(Datos!$F$21:$T$59,MATCH($B40,Datos!$F$21:$F$59,0),MATCH(F$6,Datos!$F$21:$T$21,0)),"")</f>
        <v/>
      </c>
      <c r="F40" s="102">
        <f>('Reporte AN'!E60*F$7)</f>
        <v>0</v>
      </c>
      <c r="G40" s="1" t="str">
        <f>IF($B$2="Engorde",INDEX(Datos!$F$21:$T$59,MATCH($B40,Datos!$F$21:$F$59,0),MATCH(H$6,Datos!$F$21:$T$21,0)),"")</f>
        <v/>
      </c>
      <c r="H40" s="102">
        <f>('Reporte AN'!F60*H$7)</f>
        <v>0</v>
      </c>
      <c r="I40" s="1" t="str">
        <f>IF($B$2="Engorde",INDEX(Datos!$F$21:$T$59,MATCH($B40,Datos!$F$21:$F$59,0),MATCH(J$6,Datos!$F$21:$T$21,0)),"")</f>
        <v/>
      </c>
      <c r="J40" s="102">
        <f>('Reporte AN'!G60*J$7)</f>
        <v>0</v>
      </c>
      <c r="K40" s="1" t="str">
        <f>IF($B$2="Engorde",INDEX(Datos!$F$21:$T$59,MATCH($B40,Datos!$F$21:$F$59,0),MATCH(L$6,Datos!$F$21:$T$21,0)),"")</f>
        <v/>
      </c>
      <c r="L40" s="102">
        <f>('Reporte AN'!H60*L$7)</f>
        <v>0</v>
      </c>
      <c r="M40" s="1" t="str">
        <f>IF($B$2="Engorde",INDEX(Datos!$F$21:$T$59,MATCH($B40,Datos!$F$21:$F$59,0),MATCH(N$6,Datos!$F$21:$T$21,0)),"")</f>
        <v/>
      </c>
      <c r="N40" s="102">
        <f>('Reporte AN'!I60*N$7)</f>
        <v>0</v>
      </c>
      <c r="O40" s="1" t="str">
        <f>IF($B$2="Engorde",INDEX(Datos!$F$21:$T$59,MATCH($B40,Datos!$F$21:$F$59,0),MATCH(P$6,Datos!$F$21:$T$21,0)),"")</f>
        <v/>
      </c>
      <c r="P40" s="102">
        <f>('Reporte AN'!J60*P$7)</f>
        <v>0</v>
      </c>
      <c r="Q40" s="1" t="str">
        <f>IF($B$2="Engorde",INDEX(Datos!$F$21:$T$59,MATCH($B40,Datos!$F$21:$F$59,0),MATCH(R$6,Datos!$F$21:$T$21,0)),"")</f>
        <v/>
      </c>
      <c r="R40" s="102">
        <f>('Reporte AN'!K60*R$7)</f>
        <v>4897.3744030920861</v>
      </c>
      <c r="S40" s="1" t="str">
        <f>IF($B$2="Engorde",INDEX(Datos!$F$21:$T$59,MATCH($B40,Datos!$F$21:$F$59,0),MATCH(T$6,Datos!$F$21:$T$21,0)),"")</f>
        <v/>
      </c>
      <c r="T40" s="102">
        <f>('Reporte AN'!L60*T$7)</f>
        <v>0</v>
      </c>
      <c r="U40" s="1" t="str">
        <f>IF($B$2="Engorde",INDEX(Datos!$F$21:$T$59,MATCH($B40,Datos!$F$21:$F$59,0),MATCH(V$6,Datos!$F$21:$T$21,0)),"")</f>
        <v/>
      </c>
      <c r="V40" s="102">
        <f>('Reporte AN'!M60*V$7)</f>
        <v>1531.8169481660566</v>
      </c>
      <c r="W40" s="1" t="str">
        <f>IF($B$2="Engorde",INDEX(Datos!$F$21:$T$59,MATCH($B40,Datos!$F$21:$F$59,0),MATCH(X$6,Datos!$F$21:$T$21,0)),"")</f>
        <v/>
      </c>
      <c r="X40" s="102">
        <f>('Reporte AN'!N60*X$7)</f>
        <v>0</v>
      </c>
    </row>
    <row r="41" spans="2:24" x14ac:dyDescent="0.25">
      <c r="B41" s="139">
        <f>IFERROR(INDEX(cuentas,ROW(B32)),"")</f>
        <v>32</v>
      </c>
      <c r="C41" s="1" t="str">
        <f>IF($B$2="Engorde",INDEX(Datos!$F$21:$T$59,MATCH($B41,Datos!$F$21:$F$59,0),MATCH(D$6,Datos!$F$21:$T$21,0)),"")</f>
        <v/>
      </c>
      <c r="D41" s="102">
        <f>('Reporte AN'!D61*D$7)</f>
        <v>0</v>
      </c>
      <c r="E41" s="1" t="str">
        <f>IF($B$2="Engorde",INDEX(Datos!$F$21:$T$59,MATCH($B41,Datos!$F$21:$F$59,0),MATCH(F$6,Datos!$F$21:$T$21,0)),"")</f>
        <v/>
      </c>
      <c r="F41" s="102">
        <f>('Reporte AN'!E61*F$7)</f>
        <v>1320720</v>
      </c>
      <c r="G41" s="1" t="str">
        <f>IF($B$2="Engorde",INDEX(Datos!$F$21:$T$59,MATCH($B41,Datos!$F$21:$F$59,0),MATCH(H$6,Datos!$F$21:$T$21,0)),"")</f>
        <v/>
      </c>
      <c r="H41" s="102">
        <f>('Reporte AN'!F61*H$7)</f>
        <v>82613</v>
      </c>
      <c r="I41" s="1" t="str">
        <f>IF($B$2="Engorde",INDEX(Datos!$F$21:$T$59,MATCH($B41,Datos!$F$21:$F$59,0),MATCH(J$6,Datos!$F$21:$T$21,0)),"")</f>
        <v/>
      </c>
      <c r="J41" s="102">
        <f>('Reporte AN'!G61*J$7)</f>
        <v>41145</v>
      </c>
      <c r="K41" s="1" t="str">
        <f>IF($B$2="Engorde",INDEX(Datos!$F$21:$T$59,MATCH($B41,Datos!$F$21:$F$59,0),MATCH(L$6,Datos!$F$21:$T$21,0)),"")</f>
        <v/>
      </c>
      <c r="L41" s="102">
        <f>('Reporte AN'!H61*L$7)</f>
        <v>16396.830681218933</v>
      </c>
      <c r="M41" s="1" t="str">
        <f>IF($B$2="Engorde",INDEX(Datos!$F$21:$T$59,MATCH($B41,Datos!$F$21:$F$59,0),MATCH(N$6,Datos!$F$21:$T$21,0)),"")</f>
        <v/>
      </c>
      <c r="N41" s="102">
        <f>('Reporte AN'!I61*N$7)</f>
        <v>12113.927303923139</v>
      </c>
      <c r="O41" s="1" t="str">
        <f>IF($B$2="Engorde",INDEX(Datos!$F$21:$T$59,MATCH($B41,Datos!$F$21:$F$59,0),MATCH(P$6,Datos!$F$21:$T$21,0)),"")</f>
        <v/>
      </c>
      <c r="P41" s="102">
        <f>('Reporte AN'!J61*P$7)</f>
        <v>8961.8144036629092</v>
      </c>
      <c r="Q41" s="1" t="str">
        <f>IF($B$2="Engorde",INDEX(Datos!$F$21:$T$59,MATCH($B41,Datos!$F$21:$F$59,0),MATCH(R$6,Datos!$F$21:$T$21,0)),"")</f>
        <v/>
      </c>
      <c r="R41" s="102">
        <f>('Reporte AN'!K61*R$7)</f>
        <v>0</v>
      </c>
      <c r="S41" s="1" t="str">
        <f>IF($B$2="Engorde",INDEX(Datos!$F$21:$T$59,MATCH($B41,Datos!$F$21:$F$59,0),MATCH(T$6,Datos!$F$21:$T$21,0)),"")</f>
        <v/>
      </c>
      <c r="T41" s="102">
        <f>('Reporte AN'!L61*T$7)</f>
        <v>18364.582491828063</v>
      </c>
      <c r="U41" s="1" t="str">
        <f>IF($B$2="Engorde",INDEX(Datos!$F$21:$T$59,MATCH($B41,Datos!$F$21:$F$59,0),MATCH(V$6,Datos!$F$21:$T$21,0)),"")</f>
        <v/>
      </c>
      <c r="V41" s="102">
        <f>('Reporte AN'!M61*V$7)</f>
        <v>6364.8903663409556</v>
      </c>
      <c r="W41" s="1" t="str">
        <f>IF($B$2="Engorde",INDEX(Datos!$F$21:$T$59,MATCH($B41,Datos!$F$21:$F$59,0),MATCH(X$6,Datos!$F$21:$T$21,0)),"")</f>
        <v/>
      </c>
      <c r="X41" s="102">
        <f>('Reporte AN'!N61*X$7)</f>
        <v>0</v>
      </c>
    </row>
    <row r="42" spans="2:24" x14ac:dyDescent="0.25">
      <c r="B42" s="139">
        <f>IFERROR(INDEX(cuentas,ROW(B33)),"")</f>
        <v>33</v>
      </c>
      <c r="C42" s="1" t="str">
        <f>IF($B$2="Engorde",INDEX(Datos!$F$21:$T$59,MATCH($B42,Datos!$F$21:$F$59,0),MATCH(D$6,Datos!$F$21:$T$21,0)),"")</f>
        <v/>
      </c>
      <c r="D42" s="102">
        <f>('Reporte AN'!D62*D$7)</f>
        <v>0</v>
      </c>
      <c r="E42" s="1" t="str">
        <f>IF($B$2="Engorde",INDEX(Datos!$F$21:$T$59,MATCH($B42,Datos!$F$21:$F$59,0),MATCH(F$6,Datos!$F$21:$T$21,0)),"")</f>
        <v/>
      </c>
      <c r="F42" s="102">
        <f>('Reporte AN'!E62*F$7)</f>
        <v>30000</v>
      </c>
      <c r="G42" s="1" t="str">
        <f>IF($B$2="Engorde",INDEX(Datos!$F$21:$T$59,MATCH($B42,Datos!$F$21:$F$59,0),MATCH(H$6,Datos!$F$21:$T$21,0)),"")</f>
        <v/>
      </c>
      <c r="H42" s="102">
        <f>('Reporte AN'!F62*H$7)</f>
        <v>21008</v>
      </c>
      <c r="I42" s="1" t="str">
        <f>IF($B$2="Engorde",INDEX(Datos!$F$21:$T$59,MATCH($B42,Datos!$F$21:$F$59,0),MATCH(J$6,Datos!$F$21:$T$21,0)),"")</f>
        <v/>
      </c>
      <c r="J42" s="102">
        <f>('Reporte AN'!G62*J$7)</f>
        <v>0</v>
      </c>
      <c r="K42" s="1" t="str">
        <f>IF($B$2="Engorde",INDEX(Datos!$F$21:$T$59,MATCH($B42,Datos!$F$21:$F$59,0),MATCH(L$6,Datos!$F$21:$T$21,0)),"")</f>
        <v/>
      </c>
      <c r="L42" s="102">
        <f>('Reporte AN'!H62*L$7)</f>
        <v>31540.397659379312</v>
      </c>
      <c r="M42" s="1" t="str">
        <f>IF($B$2="Engorde",INDEX(Datos!$F$21:$T$59,MATCH($B42,Datos!$F$21:$F$59,0),MATCH(N$6,Datos!$F$21:$T$21,0)),"")</f>
        <v/>
      </c>
      <c r="N42" s="102">
        <f>('Reporte AN'!I62*N$7)</f>
        <v>0</v>
      </c>
      <c r="O42" s="1" t="str">
        <f>IF($B$2="Engorde",INDEX(Datos!$F$21:$T$59,MATCH($B42,Datos!$F$21:$F$59,0),MATCH(P$6,Datos!$F$21:$T$21,0)),"")</f>
        <v/>
      </c>
      <c r="P42" s="102">
        <f>('Reporte AN'!J62*P$7)</f>
        <v>0</v>
      </c>
      <c r="Q42" s="1" t="str">
        <f>IF($B$2="Engorde",INDEX(Datos!$F$21:$T$59,MATCH($B42,Datos!$F$21:$F$59,0),MATCH(R$6,Datos!$F$21:$T$21,0)),"")</f>
        <v/>
      </c>
      <c r="R42" s="102">
        <f>('Reporte AN'!K62*R$7)</f>
        <v>0</v>
      </c>
      <c r="S42" s="1" t="str">
        <f>IF($B$2="Engorde",INDEX(Datos!$F$21:$T$59,MATCH($B42,Datos!$F$21:$F$59,0),MATCH(T$6,Datos!$F$21:$T$21,0)),"")</f>
        <v/>
      </c>
      <c r="T42" s="102">
        <f>('Reporte AN'!L62*T$7)</f>
        <v>20497.460223708902</v>
      </c>
      <c r="U42" s="1" t="str">
        <f>IF($B$2="Engorde",INDEX(Datos!$F$21:$T$59,MATCH($B42,Datos!$F$21:$F$59,0),MATCH(V$6,Datos!$F$21:$T$21,0)),"")</f>
        <v/>
      </c>
      <c r="V42" s="102">
        <f>('Reporte AN'!M62*V$7)</f>
        <v>6789.2163907636859</v>
      </c>
      <c r="W42" s="1" t="str">
        <f>IF($B$2="Engorde",INDEX(Datos!$F$21:$T$59,MATCH($B42,Datos!$F$21:$F$59,0),MATCH(X$6,Datos!$F$21:$T$21,0)),"")</f>
        <v/>
      </c>
      <c r="X42" s="102">
        <f>('Reporte AN'!N62*X$7)</f>
        <v>0</v>
      </c>
    </row>
    <row r="43" spans="2:24" x14ac:dyDescent="0.25">
      <c r="B43" s="139">
        <f>IFERROR(INDEX(cuentas,ROW(B34)),"")</f>
        <v>34</v>
      </c>
      <c r="C43" s="1" t="str">
        <f>IF($B$2="Engorde",INDEX(Datos!$F$21:$T$59,MATCH($B43,Datos!$F$21:$F$59,0),MATCH(D$6,Datos!$F$21:$T$21,0)),"")</f>
        <v/>
      </c>
      <c r="D43" s="102">
        <f>('Reporte AN'!D63*D$7)</f>
        <v>0</v>
      </c>
      <c r="E43" s="1" t="str">
        <f>IF($B$2="Engorde",INDEX(Datos!$F$21:$T$59,MATCH($B43,Datos!$F$21:$F$59,0),MATCH(F$6,Datos!$F$21:$T$21,0)),"")</f>
        <v/>
      </c>
      <c r="F43" s="102">
        <f>('Reporte AN'!E63*F$7)</f>
        <v>65731</v>
      </c>
      <c r="G43" s="1" t="str">
        <f>IF($B$2="Engorde",INDEX(Datos!$F$21:$T$59,MATCH($B43,Datos!$F$21:$F$59,0),MATCH(H$6,Datos!$F$21:$T$21,0)),"")</f>
        <v/>
      </c>
      <c r="H43" s="102">
        <f>('Reporte AN'!F63*H$7)</f>
        <v>28520</v>
      </c>
      <c r="I43" s="1" t="str">
        <f>IF($B$2="Engorde",INDEX(Datos!$F$21:$T$59,MATCH($B43,Datos!$F$21:$F$59,0),MATCH(J$6,Datos!$F$21:$T$21,0)),"")</f>
        <v/>
      </c>
      <c r="J43" s="102">
        <f>('Reporte AN'!G63*J$7)</f>
        <v>88356</v>
      </c>
      <c r="K43" s="1" t="str">
        <f>IF($B$2="Engorde",INDEX(Datos!$F$21:$T$59,MATCH($B43,Datos!$F$21:$F$59,0),MATCH(L$6,Datos!$F$21:$T$21,0)),"")</f>
        <v/>
      </c>
      <c r="L43" s="102">
        <f>('Reporte AN'!H63*L$7)</f>
        <v>27099.174194548228</v>
      </c>
      <c r="M43" s="1" t="str">
        <f>IF($B$2="Engorde",INDEX(Datos!$F$21:$T$59,MATCH($B43,Datos!$F$21:$F$59,0),MATCH(N$6,Datos!$F$21:$T$21,0)),"")</f>
        <v/>
      </c>
      <c r="N43" s="102">
        <f>('Reporte AN'!I63*N$7)</f>
        <v>23250.952898837048</v>
      </c>
      <c r="O43" s="1" t="str">
        <f>IF($B$2="Engorde",INDEX(Datos!$F$21:$T$59,MATCH($B43,Datos!$F$21:$F$59,0),MATCH(P$6,Datos!$F$21:$T$21,0)),"")</f>
        <v/>
      </c>
      <c r="P43" s="102">
        <f>('Reporte AN'!J63*P$7)</f>
        <v>26372.21540074969</v>
      </c>
      <c r="Q43" s="1" t="str">
        <f>IF($B$2="Engorde",INDEX(Datos!$F$21:$T$59,MATCH($B43,Datos!$F$21:$F$59,0),MATCH(R$6,Datos!$F$21:$T$21,0)),"")</f>
        <v/>
      </c>
      <c r="R43" s="102">
        <f>('Reporte AN'!K63*R$7)</f>
        <v>17765.629710170379</v>
      </c>
      <c r="S43" s="1" t="str">
        <f>IF($B$2="Engorde",INDEX(Datos!$F$21:$T$59,MATCH($B43,Datos!$F$21:$F$59,0),MATCH(T$6,Datos!$F$21:$T$21,0)),"")</f>
        <v/>
      </c>
      <c r="T43" s="102">
        <f>('Reporte AN'!L63*T$7)</f>
        <v>54691.691013850861</v>
      </c>
      <c r="U43" s="1" t="str">
        <f>IF($B$2="Engorde",INDEX(Datos!$F$21:$T$59,MATCH($B43,Datos!$F$21:$F$59,0),MATCH(V$6,Datos!$F$21:$T$21,0)),"")</f>
        <v/>
      </c>
      <c r="V43" s="102">
        <f>('Reporte AN'!M63*V$7)</f>
        <v>39442.589111178269</v>
      </c>
      <c r="W43" s="1" t="str">
        <f>IF($B$2="Engorde",INDEX(Datos!$F$21:$T$59,MATCH($B43,Datos!$F$21:$F$59,0),MATCH(X$6,Datos!$F$21:$T$21,0)),"")</f>
        <v/>
      </c>
      <c r="X43" s="102">
        <f>('Reporte AN'!N63*X$7)</f>
        <v>6097.0959005890963</v>
      </c>
    </row>
    <row r="44" spans="2:24" x14ac:dyDescent="0.25">
      <c r="B44" s="139">
        <f>IFERROR(INDEX(cuentas,ROW(B35)),"")</f>
        <v>35</v>
      </c>
      <c r="C44" s="1" t="str">
        <f>IF($B$2="Engorde",INDEX(Datos!$F$21:$T$59,MATCH($B44,Datos!$F$21:$F$59,0),MATCH(D$6,Datos!$F$21:$T$21,0)),"")</f>
        <v/>
      </c>
      <c r="D44" s="102">
        <f>('Reporte AN'!D64*D$7)</f>
        <v>0</v>
      </c>
      <c r="E44" s="1" t="str">
        <f>IF($B$2="Engorde",INDEX(Datos!$F$21:$T$59,MATCH($B44,Datos!$F$21:$F$59,0),MATCH(F$6,Datos!$F$21:$T$21,0)),"")</f>
        <v/>
      </c>
      <c r="F44" s="102">
        <f>('Reporte AN'!E64*F$7)</f>
        <v>43230</v>
      </c>
      <c r="G44" s="1" t="str">
        <f>IF($B$2="Engorde",INDEX(Datos!$F$21:$T$59,MATCH($B44,Datos!$F$21:$F$59,0),MATCH(H$6,Datos!$F$21:$T$21,0)),"")</f>
        <v/>
      </c>
      <c r="H44" s="102">
        <f>('Reporte AN'!F64*H$7)</f>
        <v>0</v>
      </c>
      <c r="I44" s="1" t="str">
        <f>IF($B$2="Engorde",INDEX(Datos!$F$21:$T$59,MATCH($B44,Datos!$F$21:$F$59,0),MATCH(J$6,Datos!$F$21:$T$21,0)),"")</f>
        <v/>
      </c>
      <c r="J44" s="102">
        <f>('Reporte AN'!G64*J$7)</f>
        <v>0</v>
      </c>
      <c r="K44" s="1" t="str">
        <f>IF($B$2="Engorde",INDEX(Datos!$F$21:$T$59,MATCH($B44,Datos!$F$21:$F$59,0),MATCH(L$6,Datos!$F$21:$T$21,0)),"")</f>
        <v/>
      </c>
      <c r="L44" s="102">
        <f>('Reporte AN'!H64*L$7)</f>
        <v>3976.8270978491369</v>
      </c>
      <c r="M44" s="1" t="str">
        <f>IF($B$2="Engorde",INDEX(Datos!$F$21:$T$59,MATCH($B44,Datos!$F$21:$F$59,0),MATCH(N$6,Datos!$F$21:$T$21,0)),"")</f>
        <v/>
      </c>
      <c r="N44" s="102">
        <f>('Reporte AN'!I64*N$7)</f>
        <v>0</v>
      </c>
      <c r="O44" s="1" t="str">
        <f>IF($B$2="Engorde",INDEX(Datos!$F$21:$T$59,MATCH($B44,Datos!$F$21:$F$59,0),MATCH(P$6,Datos!$F$21:$T$21,0)),"")</f>
        <v/>
      </c>
      <c r="P44" s="102">
        <f>('Reporte AN'!J64*P$7)</f>
        <v>0</v>
      </c>
      <c r="Q44" s="1" t="str">
        <f>IF($B$2="Engorde",INDEX(Datos!$F$21:$T$59,MATCH($B44,Datos!$F$21:$F$59,0),MATCH(R$6,Datos!$F$21:$T$21,0)),"")</f>
        <v/>
      </c>
      <c r="R44" s="102">
        <f>('Reporte AN'!K64*R$7)</f>
        <v>0</v>
      </c>
      <c r="S44" s="1" t="str">
        <f>IF($B$2="Engorde",INDEX(Datos!$F$21:$T$59,MATCH($B44,Datos!$F$21:$F$59,0),MATCH(T$6,Datos!$F$21:$T$21,0)),"")</f>
        <v/>
      </c>
      <c r="T44" s="102">
        <f>('Reporte AN'!L64*T$7)</f>
        <v>0</v>
      </c>
      <c r="U44" s="1" t="str">
        <f>IF($B$2="Engorde",INDEX(Datos!$F$21:$T$59,MATCH($B44,Datos!$F$21:$F$59,0),MATCH(V$6,Datos!$F$21:$T$21,0)),"")</f>
        <v/>
      </c>
      <c r="V44" s="102">
        <f>('Reporte AN'!M64*V$7)</f>
        <v>0</v>
      </c>
      <c r="W44" s="1" t="str">
        <f>IF($B$2="Engorde",INDEX(Datos!$F$21:$T$59,MATCH($B44,Datos!$F$21:$F$59,0),MATCH(X$6,Datos!$F$21:$T$21,0)),"")</f>
        <v/>
      </c>
      <c r="X44" s="102">
        <f>('Reporte AN'!N64*X$7)</f>
        <v>221.33028044610569</v>
      </c>
    </row>
    <row r="45" spans="2:24" x14ac:dyDescent="0.25">
      <c r="B45" s="139">
        <f>IFERROR(INDEX(cuentas,ROW(B36)),"")</f>
        <v>36</v>
      </c>
      <c r="C45" s="1" t="str">
        <f>IF($B$2="Engorde",INDEX(Datos!$F$21:$T$59,MATCH($B45,Datos!$F$21:$F$59,0),MATCH(D$6,Datos!$F$21:$T$21,0)),"")</f>
        <v/>
      </c>
      <c r="D45" s="102">
        <f>('Reporte AN'!D65*D$7)</f>
        <v>0</v>
      </c>
      <c r="E45" s="1" t="str">
        <f>IF($B$2="Engorde",INDEX(Datos!$F$21:$T$59,MATCH($B45,Datos!$F$21:$F$59,0),MATCH(F$6,Datos!$F$21:$T$21,0)),"")</f>
        <v/>
      </c>
      <c r="F45" s="102">
        <f>('Reporte AN'!E65*F$7)</f>
        <v>47950</v>
      </c>
      <c r="G45" s="1" t="str">
        <f>IF($B$2="Engorde",INDEX(Datos!$F$21:$T$59,MATCH($B45,Datos!$F$21:$F$59,0),MATCH(H$6,Datos!$F$21:$T$21,0)),"")</f>
        <v/>
      </c>
      <c r="H45" s="102">
        <f>('Reporte AN'!F65*H$7)</f>
        <v>40340</v>
      </c>
      <c r="I45" s="1" t="str">
        <f>IF($B$2="Engorde",INDEX(Datos!$F$21:$T$59,MATCH($B45,Datos!$F$21:$F$59,0),MATCH(J$6,Datos!$F$21:$T$21,0)),"")</f>
        <v/>
      </c>
      <c r="J45" s="102">
        <f>('Reporte AN'!G65*J$7)</f>
        <v>58050</v>
      </c>
      <c r="K45" s="1" t="str">
        <f>IF($B$2="Engorde",INDEX(Datos!$F$21:$T$59,MATCH($B45,Datos!$F$21:$F$59,0),MATCH(L$6,Datos!$F$21:$T$21,0)),"")</f>
        <v/>
      </c>
      <c r="L45" s="102">
        <f>('Reporte AN'!H65*L$7)</f>
        <v>16245.208733043859</v>
      </c>
      <c r="M45" s="1" t="str">
        <f>IF($B$2="Engorde",INDEX(Datos!$F$21:$T$59,MATCH($B45,Datos!$F$21:$F$59,0),MATCH(N$6,Datos!$F$21:$T$21,0)),"")</f>
        <v/>
      </c>
      <c r="N45" s="102">
        <f>('Reporte AN'!I65*N$7)</f>
        <v>27887.991214674483</v>
      </c>
      <c r="O45" s="1" t="str">
        <f>IF($B$2="Engorde",INDEX(Datos!$F$21:$T$59,MATCH($B45,Datos!$F$21:$F$59,0),MATCH(P$6,Datos!$F$21:$T$21,0)),"")</f>
        <v/>
      </c>
      <c r="P45" s="102">
        <f>('Reporte AN'!J65*P$7)</f>
        <v>22404.536009157273</v>
      </c>
      <c r="Q45" s="1" t="str">
        <f>IF($B$2="Engorde",INDEX(Datos!$F$21:$T$59,MATCH($B45,Datos!$F$21:$F$59,0),MATCH(R$6,Datos!$F$21:$T$21,0)),"")</f>
        <v/>
      </c>
      <c r="R45" s="102">
        <f>('Reporte AN'!K65*R$7)</f>
        <v>18549.665143632043</v>
      </c>
      <c r="S45" s="1" t="str">
        <f>IF($B$2="Engorde",INDEX(Datos!$F$21:$T$59,MATCH($B45,Datos!$F$21:$F$59,0),MATCH(T$6,Datos!$F$21:$T$21,0)),"")</f>
        <v/>
      </c>
      <c r="T45" s="102">
        <f>('Reporte AN'!L65*T$7)</f>
        <v>25367.006981786359</v>
      </c>
      <c r="U45" s="1" t="str">
        <f>IF($B$2="Engorde",INDEX(Datos!$F$21:$T$59,MATCH($B45,Datos!$F$21:$F$59,0),MATCH(V$6,Datos!$F$21:$T$21,0)),"")</f>
        <v/>
      </c>
      <c r="V45" s="102">
        <f>('Reporte AN'!M65*V$7)</f>
        <v>12547.320542180138</v>
      </c>
      <c r="W45" s="1" t="str">
        <f>IF($B$2="Engorde",INDEX(Datos!$F$21:$T$59,MATCH($B45,Datos!$F$21:$F$59,0),MATCH(X$6,Datos!$F$21:$T$21,0)),"")</f>
        <v/>
      </c>
      <c r="X45" s="102">
        <f>('Reporte AN'!N65*X$7)</f>
        <v>9224.729902878762</v>
      </c>
    </row>
    <row r="46" spans="2:24" x14ac:dyDescent="0.25">
      <c r="B46" s="139">
        <f>IFERROR(INDEX(cuentas,ROW(B37)),"")</f>
        <v>37</v>
      </c>
      <c r="C46" s="1" t="str">
        <f>IF($B$2="Engorde",INDEX(Datos!$F$21:$T$59,MATCH($B46,Datos!$F$21:$F$59,0),MATCH(D$6,Datos!$F$21:$T$21,0)),"")</f>
        <v/>
      </c>
      <c r="D46" s="102">
        <f>('Reporte AN'!D66*D$7)</f>
        <v>0</v>
      </c>
      <c r="E46" s="1" t="str">
        <f>IF($B$2="Engorde",INDEX(Datos!$F$21:$T$59,MATCH($B46,Datos!$F$21:$F$59,0),MATCH(F$6,Datos!$F$21:$T$21,0)),"")</f>
        <v/>
      </c>
      <c r="F46" s="102">
        <f>('Reporte AN'!E66*F$7)</f>
        <v>11067</v>
      </c>
      <c r="G46" s="1" t="str">
        <f>IF($B$2="Engorde",INDEX(Datos!$F$21:$T$59,MATCH($B46,Datos!$F$21:$F$59,0),MATCH(H$6,Datos!$F$21:$T$21,0)),"")</f>
        <v/>
      </c>
      <c r="H46" s="102">
        <f>('Reporte AN'!F66*H$7)</f>
        <v>0</v>
      </c>
      <c r="I46" s="1" t="str">
        <f>IF($B$2="Engorde",INDEX(Datos!$F$21:$T$59,MATCH($B46,Datos!$F$21:$F$59,0),MATCH(J$6,Datos!$F$21:$T$21,0)),"")</f>
        <v/>
      </c>
      <c r="J46" s="102">
        <f>('Reporte AN'!G66*J$7)</f>
        <v>0</v>
      </c>
      <c r="K46" s="1" t="str">
        <f>IF($B$2="Engorde",INDEX(Datos!$F$21:$T$59,MATCH($B46,Datos!$F$21:$F$59,0),MATCH(L$6,Datos!$F$21:$T$21,0)),"")</f>
        <v/>
      </c>
      <c r="L46" s="102">
        <f>('Reporte AN'!H66*L$7)</f>
        <v>0</v>
      </c>
      <c r="M46" s="1" t="str">
        <f>IF($B$2="Engorde",INDEX(Datos!$F$21:$T$59,MATCH($B46,Datos!$F$21:$F$59,0),MATCH(N$6,Datos!$F$21:$T$21,0)),"")</f>
        <v/>
      </c>
      <c r="N46" s="102">
        <f>('Reporte AN'!I66*N$7)</f>
        <v>0</v>
      </c>
      <c r="O46" s="1" t="str">
        <f>IF($B$2="Engorde",INDEX(Datos!$F$21:$T$59,MATCH($B46,Datos!$F$21:$F$59,0),MATCH(P$6,Datos!$F$21:$T$21,0)),"")</f>
        <v/>
      </c>
      <c r="P46" s="102">
        <f>('Reporte AN'!J66*P$7)</f>
        <v>0</v>
      </c>
      <c r="Q46" s="1" t="str">
        <f>IF($B$2="Engorde",INDEX(Datos!$F$21:$T$59,MATCH($B46,Datos!$F$21:$F$59,0),MATCH(R$6,Datos!$F$21:$T$21,0)),"")</f>
        <v/>
      </c>
      <c r="R46" s="102">
        <f>('Reporte AN'!K66*R$7)</f>
        <v>0</v>
      </c>
      <c r="S46" s="1" t="str">
        <f>IF($B$2="Engorde",INDEX(Datos!$F$21:$T$59,MATCH($B46,Datos!$F$21:$F$59,0),MATCH(T$6,Datos!$F$21:$T$21,0)),"")</f>
        <v/>
      </c>
      <c r="T46" s="102">
        <f>('Reporte AN'!L66*T$7)</f>
        <v>0</v>
      </c>
      <c r="U46" s="1" t="str">
        <f>IF($B$2="Engorde",INDEX(Datos!$F$21:$T$59,MATCH($B46,Datos!$F$21:$F$59,0),MATCH(V$6,Datos!$F$21:$T$21,0)),"")</f>
        <v/>
      </c>
      <c r="V46" s="102">
        <f>('Reporte AN'!M66*V$7)</f>
        <v>0</v>
      </c>
      <c r="W46" s="1" t="str">
        <f>IF($B$2="Engorde",INDEX(Datos!$F$21:$T$59,MATCH($B46,Datos!$F$21:$F$59,0),MATCH(X$6,Datos!$F$21:$T$21,0)),"")</f>
        <v/>
      </c>
      <c r="X46" s="102">
        <f>('Reporte AN'!N66*X$7)</f>
        <v>0</v>
      </c>
    </row>
    <row r="47" spans="2:24" x14ac:dyDescent="0.25">
      <c r="B47" s="139">
        <f>IFERROR(INDEX(cuentas,ROW(B38)),"")</f>
        <v>38</v>
      </c>
      <c r="C47" s="1" t="str">
        <f>IF($B$2="Engorde",INDEX(Datos!$F$21:$T$59,MATCH($B47,Datos!$F$21:$F$59,0),MATCH(D$6,Datos!$F$21:$T$21,0)),"")</f>
        <v/>
      </c>
      <c r="D47" s="102">
        <f>('Reporte AN'!D67*D$7)</f>
        <v>0</v>
      </c>
      <c r="E47" s="1" t="str">
        <f>IF($B$2="Engorde",INDEX(Datos!$F$21:$T$59,MATCH($B47,Datos!$F$21:$F$59,0),MATCH(F$6,Datos!$F$21:$T$21,0)),"")</f>
        <v/>
      </c>
      <c r="F47" s="102">
        <f>('Reporte AN'!E67*F$7)</f>
        <v>153113</v>
      </c>
      <c r="G47" s="1" t="str">
        <f>IF($B$2="Engorde",INDEX(Datos!$F$21:$T$59,MATCH($B47,Datos!$F$21:$F$59,0),MATCH(H$6,Datos!$F$21:$T$21,0)),"")</f>
        <v/>
      </c>
      <c r="H47" s="102">
        <f>('Reporte AN'!F67*H$7)</f>
        <v>227537</v>
      </c>
      <c r="I47" s="1" t="str">
        <f>IF($B$2="Engorde",INDEX(Datos!$F$21:$T$59,MATCH($B47,Datos!$F$21:$F$59,0),MATCH(J$6,Datos!$F$21:$T$21,0)),"")</f>
        <v/>
      </c>
      <c r="J47" s="102">
        <f>('Reporte AN'!G67*J$7)</f>
        <v>84165</v>
      </c>
      <c r="K47" s="1" t="str">
        <f>IF($B$2="Engorde",INDEX(Datos!$F$21:$T$59,MATCH($B47,Datos!$F$21:$F$59,0),MATCH(L$6,Datos!$F$21:$T$21,0)),"")</f>
        <v/>
      </c>
      <c r="L47" s="102">
        <f>('Reporte AN'!H67*L$7)</f>
        <v>97722.944832233785</v>
      </c>
      <c r="M47" s="1" t="str">
        <f>IF($B$2="Engorde",INDEX(Datos!$F$21:$T$59,MATCH($B47,Datos!$F$21:$F$59,0),MATCH(N$6,Datos!$F$21:$T$21,0)),"")</f>
        <v/>
      </c>
      <c r="N47" s="102">
        <f>('Reporte AN'!I67*N$7)</f>
        <v>38645.591300819084</v>
      </c>
      <c r="O47" s="1" t="str">
        <f>IF($B$2="Engorde",INDEX(Datos!$F$21:$T$59,MATCH($B47,Datos!$F$21:$F$59,0),MATCH(P$6,Datos!$F$21:$T$21,0)),"")</f>
        <v/>
      </c>
      <c r="P47" s="102">
        <f>('Reporte AN'!J67*P$7)</f>
        <v>143967.83252057972</v>
      </c>
      <c r="Q47" s="1" t="str">
        <f>IF($B$2="Engorde",INDEX(Datos!$F$21:$T$59,MATCH($B47,Datos!$F$21:$F$59,0),MATCH(R$6,Datos!$F$21:$T$21,0)),"")</f>
        <v/>
      </c>
      <c r="R47" s="102">
        <f>('Reporte AN'!K67*R$7)</f>
        <v>111466.62418127981</v>
      </c>
      <c r="S47" s="1" t="str">
        <f>IF($B$2="Engorde",INDEX(Datos!$F$21:$T$59,MATCH($B47,Datos!$F$21:$F$59,0),MATCH(T$6,Datos!$F$21:$T$21,0)),"")</f>
        <v/>
      </c>
      <c r="T47" s="102">
        <f>('Reporte AN'!L67*T$7)</f>
        <v>82061.207683280183</v>
      </c>
      <c r="U47" s="1" t="str">
        <f>IF($B$2="Engorde",INDEX(Datos!$F$21:$T$59,MATCH($B47,Datos!$F$21:$F$59,0),MATCH(V$6,Datos!$F$21:$T$21,0)),"")</f>
        <v/>
      </c>
      <c r="V47" s="102">
        <f>('Reporte AN'!M67*V$7)</f>
        <v>38722.932173757319</v>
      </c>
      <c r="W47" s="1" t="str">
        <f>IF($B$2="Engorde",INDEX(Datos!$F$21:$T$59,MATCH($B47,Datos!$F$21:$F$59,0),MATCH(X$6,Datos!$F$21:$T$21,0)),"")</f>
        <v/>
      </c>
      <c r="X47" s="102">
        <f>('Reporte AN'!N67*X$7)</f>
        <v>18232.635177449072</v>
      </c>
    </row>
    <row r="48" spans="2:24" x14ac:dyDescent="0.25">
      <c r="B48" s="139" t="str">
        <f>IFERROR(INDEX(cuentas,ROW(B39)),"")</f>
        <v/>
      </c>
    </row>
    <row r="49" spans="2:2" x14ac:dyDescent="0.25">
      <c r="B49" s="139" t="str">
        <f>IFERROR(INDEX(cuentas,ROW(B40)),"")</f>
        <v/>
      </c>
    </row>
    <row r="50" spans="2:2" x14ac:dyDescent="0.25">
      <c r="B50" s="139" t="str">
        <f>IFERROR(INDEX(cuentas,ROW(B41)),"")</f>
        <v/>
      </c>
    </row>
    <row r="51" spans="2:2" x14ac:dyDescent="0.25">
      <c r="B51" s="139" t="str">
        <f>IFERROR(INDEX(cuentas,ROW(B42)),"")</f>
        <v/>
      </c>
    </row>
    <row r="52" spans="2:2" x14ac:dyDescent="0.25">
      <c r="B52" s="139" t="str">
        <f>IFERROR(INDEX(cuentas,ROW(B43)),"")</f>
        <v/>
      </c>
    </row>
    <row r="53" spans="2:2" x14ac:dyDescent="0.25">
      <c r="B53" s="139" t="str">
        <f>IFERROR(INDEX(cuentas,ROW(B44)),"")</f>
        <v/>
      </c>
    </row>
    <row r="54" spans="2:2" x14ac:dyDescent="0.25">
      <c r="B54" s="139" t="str">
        <f>IFERROR(INDEX(cuentas,ROW(B45)),"")</f>
        <v/>
      </c>
    </row>
    <row r="55" spans="2:2" x14ac:dyDescent="0.25">
      <c r="B55" s="139" t="str">
        <f>IFERROR(INDEX(cuentas,ROW(B46)),"")</f>
        <v/>
      </c>
    </row>
    <row r="56" spans="2:2" x14ac:dyDescent="0.25">
      <c r="B56" s="139" t="str">
        <f>IFERROR(INDEX(cuentas,ROW(B47)),"")</f>
        <v/>
      </c>
    </row>
    <row r="57" spans="2:2" x14ac:dyDescent="0.25">
      <c r="B57" s="139" t="str">
        <f>IFERROR(INDEX(cuentas,ROW(B48)),"")</f>
        <v/>
      </c>
    </row>
    <row r="58" spans="2:2" x14ac:dyDescent="0.25">
      <c r="B58" s="139" t="str">
        <f>IFERROR(INDEX(cuentas,ROW(B49)),"")</f>
        <v/>
      </c>
    </row>
    <row r="59" spans="2:2" x14ac:dyDescent="0.25">
      <c r="B59" s="139" t="str">
        <f>IFERROR(INDEX(cuentas,ROW(B50)),"")</f>
        <v/>
      </c>
    </row>
    <row r="60" spans="2:2" x14ac:dyDescent="0.25">
      <c r="B60" s="139" t="str">
        <f>IFERROR(INDEX(cuentas,ROW(B51)),"")</f>
        <v/>
      </c>
    </row>
    <row r="61" spans="2:2" x14ac:dyDescent="0.25">
      <c r="B61" s="139" t="str">
        <f>IFERROR(INDEX(cuentas,ROW(B52)),"")</f>
        <v/>
      </c>
    </row>
    <row r="62" spans="2:2" x14ac:dyDescent="0.25">
      <c r="B62" s="139" t="str">
        <f>IFERROR(INDEX(cuentas,ROW(B53)),"")</f>
        <v/>
      </c>
    </row>
    <row r="63" spans="2:2" x14ac:dyDescent="0.25">
      <c r="B63" s="139" t="str">
        <f>IFERROR(INDEX(cuentas,ROW(B54)),"")</f>
        <v/>
      </c>
    </row>
    <row r="64" spans="2:2" x14ac:dyDescent="0.25">
      <c r="B64" s="139" t="str">
        <f>IFERROR(INDEX(cuentas,ROW(B55)),"")</f>
        <v/>
      </c>
    </row>
    <row r="65" spans="2:2" x14ac:dyDescent="0.25">
      <c r="B65" s="139" t="str">
        <f>IFERROR(INDEX(cuentas,ROW(B56)),"")</f>
        <v/>
      </c>
    </row>
    <row r="66" spans="2:2" x14ac:dyDescent="0.25">
      <c r="B66" s="139" t="str">
        <f>IFERROR(INDEX(cuentas,ROW(B57)),"")</f>
        <v/>
      </c>
    </row>
    <row r="67" spans="2:2" x14ac:dyDescent="0.25">
      <c r="B67" s="139" t="str">
        <f>IFERROR(INDEX(cuentas,ROW(B58)),"")</f>
        <v/>
      </c>
    </row>
    <row r="68" spans="2:2" x14ac:dyDescent="0.25">
      <c r="B68" s="139" t="str">
        <f>IFERROR(INDEX(cuentas,ROW(B59)),"")</f>
        <v/>
      </c>
    </row>
    <row r="69" spans="2:2" x14ac:dyDescent="0.25">
      <c r="B69" s="139" t="str">
        <f>IFERROR(INDEX(cuentas,ROW(B60)),"")</f>
        <v/>
      </c>
    </row>
    <row r="70" spans="2:2" x14ac:dyDescent="0.25">
      <c r="B70" s="139" t="str">
        <f>IFERROR(INDEX(cuentas,ROW(B61)),"")</f>
        <v/>
      </c>
    </row>
    <row r="71" spans="2:2" x14ac:dyDescent="0.25">
      <c r="B71" s="139" t="str">
        <f>IFERROR(INDEX(cuentas,ROW(B62)),"")</f>
        <v/>
      </c>
    </row>
    <row r="72" spans="2:2" x14ac:dyDescent="0.25">
      <c r="B72" s="139" t="str">
        <f>IFERROR(INDEX(cuentas,ROW(B63)),"")</f>
        <v/>
      </c>
    </row>
    <row r="73" spans="2:2" x14ac:dyDescent="0.25">
      <c r="B73" s="139" t="str">
        <f>IFERROR(INDEX(cuentas,ROW(B64)),"")</f>
        <v/>
      </c>
    </row>
    <row r="74" spans="2:2" x14ac:dyDescent="0.25">
      <c r="B74" s="139" t="str">
        <f>IFERROR(INDEX(cuentas,ROW(B65)),"")</f>
        <v/>
      </c>
    </row>
    <row r="75" spans="2:2" x14ac:dyDescent="0.25">
      <c r="B75" s="139" t="str">
        <f>IFERROR(INDEX(cuentas,ROW(B66)),"")</f>
        <v/>
      </c>
    </row>
    <row r="76" spans="2:2" x14ac:dyDescent="0.25">
      <c r="B76" s="139" t="str">
        <f>IFERROR(INDEX(cuentas,ROW(B67)),"")</f>
        <v/>
      </c>
    </row>
    <row r="77" spans="2:2" x14ac:dyDescent="0.25">
      <c r="B77" s="139" t="str">
        <f>IFERROR(INDEX(cuentas,ROW(B68)),"")</f>
        <v/>
      </c>
    </row>
    <row r="78" spans="2:2" x14ac:dyDescent="0.25">
      <c r="B78" s="139" t="str">
        <f>IFERROR(INDEX(cuentas,ROW(B69)),"")</f>
        <v/>
      </c>
    </row>
  </sheetData>
  <dataValidations disablePrompts="1" count="1">
    <dataValidation type="list" allowBlank="1" showInputMessage="1" showErrorMessage="1" sqref="B2">
      <formula1>"Reproduccion, Engorde"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U71"/>
  <sheetViews>
    <sheetView showGridLines="0" topLeftCell="A27" zoomScale="80" zoomScaleNormal="80" workbookViewId="0">
      <selection activeCell="A43" sqref="A43"/>
    </sheetView>
  </sheetViews>
  <sheetFormatPr baseColWidth="10" defaultRowHeight="15" x14ac:dyDescent="0.25"/>
  <cols>
    <col min="1" max="1" width="52.7109375" bestFit="1" customWidth="1"/>
    <col min="2" max="2" width="13.140625" customWidth="1"/>
    <col min="3" max="3" width="8.28515625" customWidth="1"/>
    <col min="4" max="4" width="15.85546875" customWidth="1"/>
    <col min="5" max="5" width="13.42578125" customWidth="1"/>
    <col min="6" max="6" width="12" customWidth="1"/>
    <col min="7" max="10" width="13" customWidth="1"/>
    <col min="11" max="11" width="14.42578125" customWidth="1"/>
    <col min="12" max="12" width="13.5703125" customWidth="1"/>
    <col min="13" max="13" width="17.140625" customWidth="1"/>
    <col min="14" max="14" width="13" customWidth="1"/>
    <col min="15" max="17" width="13" hidden="1" customWidth="1"/>
    <col min="18" max="18" width="13.7109375" style="103" bestFit="1" customWidth="1"/>
    <col min="19" max="19" width="19" bestFit="1" customWidth="1"/>
    <col min="20" max="20" width="12" bestFit="1" customWidth="1"/>
    <col min="21" max="21" width="12.7109375" bestFit="1" customWidth="1"/>
  </cols>
  <sheetData>
    <row r="1" spans="1:20" hidden="1" x14ac:dyDescent="0.25"/>
    <row r="2" spans="1:20" hidden="1" x14ac:dyDescent="0.25">
      <c r="A2" s="3"/>
      <c r="B2" s="3"/>
      <c r="C2" s="3"/>
    </row>
    <row r="3" spans="1:20" hidden="1" x14ac:dyDescent="0.25">
      <c r="A3" s="3"/>
      <c r="B3" s="3"/>
      <c r="C3" s="3"/>
    </row>
    <row r="4" spans="1:20" hidden="1" x14ac:dyDescent="0.25">
      <c r="A4" s="3"/>
      <c r="B4" s="3"/>
      <c r="C4" s="3"/>
      <c r="D4" s="104"/>
    </row>
    <row r="5" spans="1:20" hidden="1" x14ac:dyDescent="0.25">
      <c r="D5" s="104"/>
    </row>
    <row r="6" spans="1:20" ht="29.25" hidden="1" customHeight="1" x14ac:dyDescent="0.25">
      <c r="A6" s="100"/>
      <c r="B6" s="100"/>
      <c r="C6" s="100"/>
    </row>
    <row r="7" spans="1:20" ht="29.25" hidden="1" customHeight="1" x14ac:dyDescent="0.25">
      <c r="A7" s="100"/>
      <c r="B7" s="100"/>
      <c r="C7" s="100"/>
    </row>
    <row r="8" spans="1:20" ht="29.25" hidden="1" customHeight="1" x14ac:dyDescent="0.25">
      <c r="A8" s="100"/>
      <c r="B8" s="100"/>
      <c r="C8" s="100"/>
    </row>
    <row r="9" spans="1:20" ht="30" hidden="1" customHeight="1" x14ac:dyDescent="0.25">
      <c r="A9" s="137"/>
      <c r="B9" s="137"/>
      <c r="C9" s="137"/>
      <c r="D9" s="137"/>
    </row>
    <row r="10" spans="1:20" hidden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05"/>
    </row>
    <row r="11" spans="1:20" hidden="1" x14ac:dyDescent="0.25">
      <c r="A11" s="3"/>
      <c r="B11" s="3"/>
      <c r="C11" s="3"/>
      <c r="E11" s="106"/>
      <c r="F11" s="106"/>
      <c r="G11" s="107"/>
      <c r="H11" s="107"/>
      <c r="I11" s="107"/>
      <c r="J11" s="107"/>
      <c r="K11" s="106"/>
      <c r="L11" s="98"/>
      <c r="M11" s="98"/>
      <c r="R11" s="105"/>
    </row>
    <row r="12" spans="1:20" hidden="1" x14ac:dyDescent="0.25">
      <c r="A12" s="3"/>
      <c r="B12" s="3"/>
      <c r="C12" s="3"/>
      <c r="E12" s="107"/>
      <c r="F12" s="107"/>
      <c r="G12" s="107"/>
      <c r="H12" s="107"/>
      <c r="I12" s="107"/>
      <c r="J12" s="107"/>
      <c r="K12" s="107"/>
      <c r="L12" s="107"/>
      <c r="R12" s="105"/>
    </row>
    <row r="13" spans="1:20" hidden="1" x14ac:dyDescent="0.25">
      <c r="R13" s="105"/>
    </row>
    <row r="14" spans="1:20" hidden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05"/>
    </row>
    <row r="15" spans="1:20" hidden="1" x14ac:dyDescent="0.25">
      <c r="E15" s="99"/>
      <c r="F15" s="99"/>
      <c r="G15" s="99"/>
      <c r="H15" s="99"/>
      <c r="I15" s="108"/>
      <c r="J15" s="108"/>
      <c r="K15" s="99"/>
      <c r="L15" s="99"/>
      <c r="M15" s="99"/>
      <c r="N15" s="99"/>
      <c r="O15" s="99"/>
      <c r="P15" s="99"/>
      <c r="Q15" s="99"/>
      <c r="R15" s="109"/>
      <c r="S15" s="99"/>
      <c r="T15" s="101"/>
    </row>
    <row r="16" spans="1:20" hidden="1" x14ac:dyDescent="0.25">
      <c r="E16" s="99"/>
      <c r="H16" s="108"/>
      <c r="R16" s="109"/>
      <c r="S16" s="99"/>
      <c r="T16" s="101"/>
    </row>
    <row r="17" spans="1:20" hidden="1" x14ac:dyDescent="0.25">
      <c r="D17" s="99"/>
      <c r="E17" s="99"/>
      <c r="F17" s="99"/>
      <c r="G17" s="99"/>
      <c r="H17" s="99"/>
      <c r="I17" s="99"/>
      <c r="J17" s="99"/>
      <c r="K17" s="99"/>
      <c r="L17" s="110"/>
      <c r="M17" s="99"/>
      <c r="N17" s="99"/>
      <c r="O17" s="99"/>
      <c r="P17" s="99"/>
      <c r="Q17" s="99"/>
      <c r="R17" s="109"/>
      <c r="S17" s="99"/>
      <c r="T17" s="101"/>
    </row>
    <row r="18" spans="1:20" hidden="1" x14ac:dyDescent="0.25">
      <c r="H18" s="111"/>
      <c r="J18" s="111"/>
      <c r="N18" s="99"/>
      <c r="R18" s="109"/>
      <c r="S18" s="99"/>
      <c r="T18" s="101"/>
    </row>
    <row r="19" spans="1:20" hidden="1" x14ac:dyDescent="0.25">
      <c r="B19" s="5"/>
      <c r="C19" s="5"/>
      <c r="I19" s="99"/>
      <c r="J19" s="99"/>
      <c r="K19" s="99"/>
      <c r="R19" s="109"/>
      <c r="S19" s="99"/>
      <c r="T19" s="101"/>
    </row>
    <row r="20" spans="1:20" hidden="1" x14ac:dyDescent="0.25">
      <c r="J20" s="99"/>
      <c r="K20" s="99"/>
      <c r="L20" s="110"/>
      <c r="M20" s="110"/>
      <c r="N20" s="110"/>
      <c r="O20" s="110"/>
      <c r="P20" s="110"/>
      <c r="Q20" s="110"/>
      <c r="R20" s="109"/>
      <c r="S20" s="99"/>
      <c r="T20" s="101"/>
    </row>
    <row r="21" spans="1:20" hidden="1" x14ac:dyDescent="0.25">
      <c r="F21" s="112"/>
      <c r="G21" s="112"/>
      <c r="H21" s="112"/>
      <c r="I21" s="112"/>
      <c r="J21" s="112"/>
      <c r="K21" s="112"/>
      <c r="L21" s="113"/>
      <c r="M21" s="114"/>
      <c r="N21" s="113"/>
      <c r="O21" s="115"/>
      <c r="P21" s="115"/>
      <c r="Q21" s="115"/>
      <c r="R21" s="109"/>
      <c r="S21" s="99"/>
      <c r="T21" s="101"/>
    </row>
    <row r="22" spans="1:20" ht="13.5" hidden="1" customHeight="1" x14ac:dyDescent="0.25">
      <c r="F22" s="112"/>
      <c r="G22" s="112"/>
      <c r="H22" s="112"/>
      <c r="I22" s="112"/>
      <c r="J22" s="112"/>
      <c r="K22" s="112"/>
      <c r="L22" s="113"/>
      <c r="M22" s="99"/>
      <c r="N22" s="115"/>
      <c r="O22" s="115"/>
      <c r="P22" s="115"/>
      <c r="Q22" s="115"/>
      <c r="R22" s="109"/>
      <c r="S22" s="99"/>
      <c r="T22" s="101"/>
    </row>
    <row r="23" spans="1:20" hidden="1" x14ac:dyDescent="0.25">
      <c r="F23" s="112"/>
      <c r="G23" s="112"/>
      <c r="H23" s="112"/>
      <c r="I23" s="112"/>
      <c r="J23" s="112"/>
      <c r="K23" s="112"/>
      <c r="L23" s="113"/>
      <c r="M23" s="116"/>
      <c r="N23" s="115"/>
      <c r="O23" s="115"/>
      <c r="P23" s="115"/>
      <c r="Q23" s="115"/>
      <c r="R23" s="109"/>
      <c r="S23" s="99"/>
      <c r="T23" s="101"/>
    </row>
    <row r="24" spans="1:20" hidden="1" x14ac:dyDescent="0.25">
      <c r="F24" s="112"/>
      <c r="G24" s="112"/>
      <c r="H24" s="112"/>
      <c r="I24" s="112"/>
      <c r="J24" s="112"/>
      <c r="K24" s="112"/>
      <c r="L24" s="99"/>
      <c r="M24" s="99"/>
      <c r="N24" s="99"/>
      <c r="O24" s="99"/>
      <c r="P24" s="99"/>
      <c r="Q24" s="99"/>
      <c r="R24" s="109"/>
      <c r="S24" s="99"/>
      <c r="T24" s="101"/>
    </row>
    <row r="25" spans="1:20" hidden="1" x14ac:dyDescent="0.25">
      <c r="D25" s="117"/>
      <c r="E25" s="117"/>
      <c r="F25" s="117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109"/>
      <c r="S25" s="99"/>
      <c r="T25" s="101"/>
    </row>
    <row r="26" spans="1:20" hidden="1" x14ac:dyDescent="0.25">
      <c r="D26" s="110"/>
      <c r="E26" s="117"/>
      <c r="F26" s="117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109"/>
      <c r="S26" s="99"/>
      <c r="T26" s="101"/>
    </row>
    <row r="27" spans="1:20" x14ac:dyDescent="0.25">
      <c r="A27" s="4" t="s">
        <v>18</v>
      </c>
      <c r="B27" s="4"/>
      <c r="C27" s="4"/>
      <c r="D27" s="118">
        <f t="shared" ref="D27:K27" si="0">SUM(D15:D26)</f>
        <v>0</v>
      </c>
      <c r="E27" s="118">
        <f t="shared" si="0"/>
        <v>0</v>
      </c>
      <c r="F27" s="118">
        <f t="shared" si="0"/>
        <v>0</v>
      </c>
      <c r="G27" s="118">
        <f t="shared" si="0"/>
        <v>0</v>
      </c>
      <c r="H27" s="118">
        <f t="shared" si="0"/>
        <v>0</v>
      </c>
      <c r="I27" s="118">
        <f t="shared" si="0"/>
        <v>0</v>
      </c>
      <c r="J27" s="118">
        <f t="shared" si="0"/>
        <v>0</v>
      </c>
      <c r="K27" s="118">
        <f t="shared" si="0"/>
        <v>0</v>
      </c>
      <c r="L27" s="118">
        <f>SUM(L15:L26)</f>
        <v>0</v>
      </c>
      <c r="M27" s="118">
        <f>SUM(M15:M26)</f>
        <v>0</v>
      </c>
      <c r="N27" s="118">
        <f>SUM(N15:N26)</f>
        <v>0</v>
      </c>
      <c r="O27" s="118"/>
      <c r="P27" s="118"/>
      <c r="Q27" s="118"/>
      <c r="R27" s="119">
        <f>SUM(R15:R26)</f>
        <v>0</v>
      </c>
      <c r="S27" s="99">
        <f>+R27-'[2]Reporte Area Engorde 2'!Q33-'[2]Reprod x Lote'!S30</f>
        <v>-385092194.58518082</v>
      </c>
      <c r="T27" s="101"/>
    </row>
    <row r="28" spans="1:20" x14ac:dyDescent="0.25">
      <c r="B28" s="138" t="s">
        <v>58</v>
      </c>
      <c r="C28" s="138"/>
      <c r="R28" s="109">
        <f>SUM(D28:L28)</f>
        <v>0</v>
      </c>
      <c r="S28" s="99">
        <f>+R28-'[2]Reporte Area Engorde 2'!Q34-'[2]Reprod x Lote'!S31</f>
        <v>0</v>
      </c>
    </row>
    <row r="29" spans="1:20" x14ac:dyDescent="0.25">
      <c r="A29" s="3" t="s">
        <v>19</v>
      </c>
      <c r="B29" s="3" t="s">
        <v>56</v>
      </c>
      <c r="C29" s="3" t="s">
        <v>32</v>
      </c>
      <c r="D29" s="3" t="s">
        <v>24</v>
      </c>
      <c r="E29" s="3" t="s">
        <v>0</v>
      </c>
      <c r="F29" s="3" t="s">
        <v>1</v>
      </c>
      <c r="G29" s="3" t="s">
        <v>2</v>
      </c>
      <c r="H29" s="3" t="s">
        <v>3</v>
      </c>
      <c r="I29" s="3" t="s">
        <v>4</v>
      </c>
      <c r="J29" s="3" t="s">
        <v>5</v>
      </c>
      <c r="K29" s="3" t="s">
        <v>6</v>
      </c>
      <c r="L29" s="3" t="s">
        <v>7</v>
      </c>
      <c r="M29" s="3" t="s">
        <v>8</v>
      </c>
      <c r="N29" s="3" t="s">
        <v>9</v>
      </c>
      <c r="O29" s="3" t="s">
        <v>25</v>
      </c>
      <c r="P29" s="3" t="s">
        <v>24</v>
      </c>
      <c r="Q29" s="3" t="s">
        <v>0</v>
      </c>
      <c r="R29" s="105" t="s">
        <v>57</v>
      </c>
      <c r="S29" s="99" t="e">
        <f>+R29-'[2]Reporte Area Engorde 2'!Q35-'[2]Reprod x Lote'!S32</f>
        <v>#VALUE!</v>
      </c>
    </row>
    <row r="30" spans="1:20" x14ac:dyDescent="0.25">
      <c r="A30">
        <v>1</v>
      </c>
      <c r="B30" s="120">
        <f>+[3]Datos!B15</f>
        <v>0.3</v>
      </c>
      <c r="C30" s="5">
        <f>+[3]Datos!C15</f>
        <v>0.7</v>
      </c>
      <c r="D30" s="99">
        <v>2500000</v>
      </c>
      <c r="E30" s="99">
        <v>2500000</v>
      </c>
      <c r="F30" s="99">
        <v>2500000</v>
      </c>
      <c r="G30" s="99">
        <v>2500000</v>
      </c>
      <c r="H30" s="99">
        <v>2500000</v>
      </c>
      <c r="I30" s="99">
        <v>2500000</v>
      </c>
      <c r="J30" s="99">
        <v>2500000</v>
      </c>
      <c r="K30" s="99">
        <v>2500000</v>
      </c>
      <c r="L30" s="121">
        <v>2500000</v>
      </c>
      <c r="M30" s="113">
        <v>2500000</v>
      </c>
      <c r="N30" s="121">
        <v>2500000</v>
      </c>
      <c r="O30" s="121"/>
      <c r="P30" s="121"/>
      <c r="Q30" s="121"/>
      <c r="R30" s="122">
        <f>SUM(D30:N30)</f>
        <v>27500000</v>
      </c>
      <c r="S30" s="99">
        <f>+R30-'[2]Reporte Area Engorde 2'!Q39-'[2]Reprod x Lote'!S33</f>
        <v>0</v>
      </c>
    </row>
    <row r="31" spans="1:20" x14ac:dyDescent="0.25">
      <c r="A31">
        <v>2</v>
      </c>
      <c r="B31" s="120">
        <v>0.5</v>
      </c>
      <c r="C31" s="5">
        <v>0.5</v>
      </c>
      <c r="D31" s="3"/>
      <c r="E31" s="3"/>
      <c r="F31" s="123">
        <v>186751</v>
      </c>
      <c r="G31" s="123">
        <v>186752</v>
      </c>
      <c r="H31" s="124">
        <v>328830</v>
      </c>
      <c r="I31" s="124">
        <v>328829.5</v>
      </c>
      <c r="J31" s="125">
        <f>1947670/2</f>
        <v>973835</v>
      </c>
      <c r="K31" s="125">
        <f>1947670/2</f>
        <v>973835</v>
      </c>
      <c r="L31" s="126">
        <f>3462146/2</f>
        <v>1731073</v>
      </c>
      <c r="M31" s="126">
        <v>1731073</v>
      </c>
      <c r="N31" s="127">
        <v>1731073</v>
      </c>
      <c r="O31" s="99"/>
      <c r="P31" s="99"/>
      <c r="Q31" s="99"/>
      <c r="R31" s="122">
        <f>SUM(D31:N31)</f>
        <v>8172051.5</v>
      </c>
      <c r="S31" s="99">
        <f>+R31-'[2]Reporte Area Engorde 2'!Q40-'[2]Reprod x Lote'!S34</f>
        <v>0</v>
      </c>
    </row>
    <row r="32" spans="1:20" x14ac:dyDescent="0.25">
      <c r="A32">
        <v>3</v>
      </c>
      <c r="B32" s="120">
        <v>0.5</v>
      </c>
      <c r="C32" s="5">
        <v>0.5</v>
      </c>
      <c r="D32" s="3"/>
      <c r="E32" s="99">
        <v>28310</v>
      </c>
      <c r="F32" s="99">
        <v>28338</v>
      </c>
      <c r="G32" s="99">
        <v>28464</v>
      </c>
      <c r="H32" s="99">
        <v>28597</v>
      </c>
      <c r="I32" s="99">
        <v>28691</v>
      </c>
      <c r="J32" s="99">
        <v>28716</v>
      </c>
      <c r="K32" s="99">
        <v>28696</v>
      </c>
      <c r="L32" s="99">
        <v>28667.439999999999</v>
      </c>
      <c r="M32" s="110">
        <v>28679.45</v>
      </c>
      <c r="N32" s="99">
        <v>28707.85</v>
      </c>
      <c r="O32" s="99"/>
      <c r="P32" s="99"/>
      <c r="Q32" s="99"/>
      <c r="R32" s="122">
        <f t="shared" ref="R32:R67" si="1">SUM(D32:N32)</f>
        <v>285866.74</v>
      </c>
      <c r="S32" s="99">
        <f>+R32-'[2]Reporte Area Engorde 2'!Q41-'[2]Reprod x Lote'!S35</f>
        <v>0</v>
      </c>
    </row>
    <row r="33" spans="1:20" x14ac:dyDescent="0.25">
      <c r="A33">
        <v>4</v>
      </c>
      <c r="B33" s="120">
        <v>0.5</v>
      </c>
      <c r="C33" s="5">
        <v>0.5</v>
      </c>
      <c r="D33" s="3"/>
      <c r="E33" s="99">
        <f>+'[3]Mano de Obra Acum'!B38/2</f>
        <v>887904.5</v>
      </c>
      <c r="F33" s="99">
        <f>+'[3]Mano de Obra Acum'!B4/2</f>
        <v>2043652.5</v>
      </c>
      <c r="G33" s="99">
        <f>+'[3]Mano de Obra Acum'!B8/2</f>
        <v>2071938.5</v>
      </c>
      <c r="H33" s="99">
        <f>+'[3]Mano de Obra Acum'!B12/2</f>
        <v>1567596.5</v>
      </c>
      <c r="I33" s="99">
        <f>+'[3]Mano de Obra Acum'!B17/2</f>
        <v>1567596.5</v>
      </c>
      <c r="J33" s="99">
        <f>+'[3]Mano de Obra Acum'!B22/2</f>
        <v>1633234.5</v>
      </c>
      <c r="K33" s="99">
        <f>+'[3]Mano de Obra Acum'!B27/2</f>
        <v>1567596.5</v>
      </c>
      <c r="L33" s="113">
        <f>+'[3]Mano de Obra Acum'!B32/2</f>
        <v>1923295.5</v>
      </c>
      <c r="M33" s="113">
        <v>1882285</v>
      </c>
      <c r="N33" s="113">
        <v>1925359.5</v>
      </c>
      <c r="O33" s="121"/>
      <c r="P33" s="121"/>
      <c r="Q33" s="121"/>
      <c r="R33" s="122">
        <f t="shared" si="1"/>
        <v>17070459.5</v>
      </c>
      <c r="S33" s="99">
        <f>+R33-'[2]Reporte Area Engorde 2'!Q42-'[2]Reprod x Lote'!S36</f>
        <v>0</v>
      </c>
    </row>
    <row r="34" spans="1:20" x14ac:dyDescent="0.25">
      <c r="A34">
        <v>5</v>
      </c>
      <c r="B34" s="120">
        <v>0.5</v>
      </c>
      <c r="C34" s="5">
        <v>0.5</v>
      </c>
      <c r="D34" s="99">
        <v>8980</v>
      </c>
      <c r="E34" s="99">
        <v>39269</v>
      </c>
      <c r="F34" s="99">
        <v>10461</v>
      </c>
      <c r="G34" s="99">
        <v>49787</v>
      </c>
      <c r="H34" s="99">
        <v>62016</v>
      </c>
      <c r="I34" s="99">
        <v>130104</v>
      </c>
      <c r="J34" s="99">
        <v>132471</v>
      </c>
      <c r="K34" s="99">
        <v>18447</v>
      </c>
      <c r="L34" s="110">
        <v>159867</v>
      </c>
      <c r="M34" s="110">
        <v>115305</v>
      </c>
      <c r="N34" s="110">
        <v>109720</v>
      </c>
      <c r="O34" s="110"/>
      <c r="P34" s="110"/>
      <c r="Q34" s="110"/>
      <c r="R34" s="122">
        <f t="shared" si="1"/>
        <v>836427</v>
      </c>
      <c r="S34" s="99">
        <f>+R34-'[2]Reporte Area Engorde 2'!Q43-'[2]Reprod x Lote'!S37</f>
        <v>0</v>
      </c>
    </row>
    <row r="35" spans="1:20" x14ac:dyDescent="0.25">
      <c r="A35">
        <v>6</v>
      </c>
      <c r="B35" s="120">
        <f>+[3]Datos!B43</f>
        <v>0.2</v>
      </c>
      <c r="C35" s="5">
        <v>0.8</v>
      </c>
      <c r="D35" s="99"/>
      <c r="E35" s="99">
        <v>663422</v>
      </c>
      <c r="F35" s="99"/>
      <c r="G35" s="99"/>
      <c r="H35" s="99">
        <v>1136419</v>
      </c>
      <c r="I35" s="99">
        <v>810836</v>
      </c>
      <c r="J35" s="99">
        <v>57000</v>
      </c>
      <c r="K35" s="99">
        <v>738454</v>
      </c>
      <c r="L35" s="110">
        <v>759197</v>
      </c>
      <c r="M35" s="110"/>
      <c r="N35" s="110">
        <v>16500</v>
      </c>
      <c r="O35" s="110"/>
      <c r="P35" s="110"/>
      <c r="Q35" s="110"/>
      <c r="R35" s="122">
        <f t="shared" si="1"/>
        <v>4181828</v>
      </c>
      <c r="S35" s="99">
        <f>+R35-'[2]Reporte Area Engorde 2'!Q44-'[2]Reprod x Lote'!S38</f>
        <v>0</v>
      </c>
    </row>
    <row r="36" spans="1:20" x14ac:dyDescent="0.25">
      <c r="A36">
        <v>7</v>
      </c>
      <c r="B36" s="120">
        <v>0.5</v>
      </c>
      <c r="C36" s="5">
        <v>0.5</v>
      </c>
      <c r="D36" s="99"/>
      <c r="E36" s="99">
        <v>20328</v>
      </c>
      <c r="F36" s="99">
        <v>18739</v>
      </c>
      <c r="G36" s="99">
        <v>11647</v>
      </c>
      <c r="H36" s="99">
        <v>8655</v>
      </c>
      <c r="I36" s="99">
        <v>63264</v>
      </c>
      <c r="J36" s="99"/>
      <c r="K36" s="99"/>
      <c r="L36" s="110"/>
      <c r="M36" s="110"/>
      <c r="N36" s="110">
        <v>8832</v>
      </c>
      <c r="O36" s="110"/>
      <c r="P36" s="110"/>
      <c r="Q36" s="110"/>
      <c r="R36" s="122">
        <f t="shared" si="1"/>
        <v>131465</v>
      </c>
      <c r="S36" s="99">
        <f>+R36-'[2]Reporte Area Engorde 2'!Q45-'[2]Reprod x Lote'!S39</f>
        <v>0</v>
      </c>
    </row>
    <row r="37" spans="1:20" x14ac:dyDescent="0.25">
      <c r="A37">
        <v>8</v>
      </c>
      <c r="B37" s="120">
        <v>0.5</v>
      </c>
      <c r="C37" s="5">
        <v>0.5</v>
      </c>
      <c r="D37" s="99"/>
      <c r="E37" s="99"/>
      <c r="F37" s="99">
        <v>4266000</v>
      </c>
      <c r="G37" s="99">
        <v>279126</v>
      </c>
      <c r="H37" s="99">
        <v>480995</v>
      </c>
      <c r="I37" s="99">
        <v>102000</v>
      </c>
      <c r="J37" s="99"/>
      <c r="K37" s="99"/>
      <c r="L37" s="110">
        <v>13199</v>
      </c>
      <c r="M37" s="110">
        <v>42069</v>
      </c>
      <c r="N37" s="110">
        <f>1261891-1086400</f>
        <v>175491</v>
      </c>
      <c r="O37" s="110"/>
      <c r="P37" s="110"/>
      <c r="Q37" s="110"/>
      <c r="R37" s="122">
        <f t="shared" si="1"/>
        <v>5358880</v>
      </c>
      <c r="S37" s="99">
        <f>+R37-'[2]Reporte Area Engorde 2'!Q46-'[2]Reprod x Lote'!S40</f>
        <v>0</v>
      </c>
    </row>
    <row r="38" spans="1:20" x14ac:dyDescent="0.25">
      <c r="A38">
        <v>9</v>
      </c>
      <c r="B38" s="120">
        <v>0.5</v>
      </c>
      <c r="C38" s="5">
        <v>0.5</v>
      </c>
      <c r="D38" s="99"/>
      <c r="E38" s="99"/>
      <c r="F38" s="99"/>
      <c r="G38" s="99"/>
      <c r="H38" s="99"/>
      <c r="I38" s="99"/>
      <c r="J38" s="99"/>
      <c r="K38" s="99">
        <v>600000</v>
      </c>
      <c r="L38" s="110"/>
      <c r="M38" s="110"/>
      <c r="N38" s="110"/>
      <c r="O38" s="110"/>
      <c r="P38" s="110"/>
      <c r="Q38" s="110"/>
      <c r="R38" s="122">
        <f t="shared" si="1"/>
        <v>600000</v>
      </c>
      <c r="S38" s="99">
        <f>+R38-'[2]Reporte Area Engorde 2'!Q47-'[2]Reprod x Lote'!S41</f>
        <v>0</v>
      </c>
    </row>
    <row r="39" spans="1:20" x14ac:dyDescent="0.25">
      <c r="A39">
        <v>10</v>
      </c>
      <c r="B39" s="120">
        <v>0.3</v>
      </c>
      <c r="C39" s="5">
        <v>0.7</v>
      </c>
      <c r="D39" s="99"/>
      <c r="E39" s="99">
        <v>800000</v>
      </c>
      <c r="F39" s="99"/>
      <c r="G39" s="99"/>
      <c r="H39" s="99"/>
      <c r="I39" s="99"/>
      <c r="J39" s="99"/>
      <c r="K39" s="99">
        <v>1126800</v>
      </c>
      <c r="L39" s="110"/>
      <c r="M39" s="110">
        <v>25000</v>
      </c>
      <c r="N39" s="110">
        <v>12500</v>
      </c>
      <c r="O39" s="110"/>
      <c r="P39" s="110"/>
      <c r="Q39" s="110"/>
      <c r="R39" s="122">
        <f t="shared" si="1"/>
        <v>1964300</v>
      </c>
      <c r="S39" s="99">
        <f>+R39-'[2]Reporte Area Engorde 2'!Q48-'[2]Reprod x Lote'!S42</f>
        <v>0</v>
      </c>
    </row>
    <row r="40" spans="1:20" x14ac:dyDescent="0.25">
      <c r="A40">
        <v>11</v>
      </c>
      <c r="B40" s="120">
        <v>0.5</v>
      </c>
      <c r="C40" s="5">
        <v>0.5</v>
      </c>
      <c r="D40" s="99">
        <v>78301</v>
      </c>
      <c r="E40" s="99"/>
      <c r="F40" s="99">
        <v>10764</v>
      </c>
      <c r="G40" s="99"/>
      <c r="H40" s="99"/>
      <c r="I40" s="99"/>
      <c r="J40" s="99"/>
      <c r="K40" s="99">
        <v>47714</v>
      </c>
      <c r="L40" s="110">
        <v>236000</v>
      </c>
      <c r="M40" s="110">
        <v>74490</v>
      </c>
      <c r="N40" s="110">
        <v>54404</v>
      </c>
      <c r="O40" s="110"/>
      <c r="P40" s="110"/>
      <c r="Q40" s="110"/>
      <c r="R40" s="122">
        <f t="shared" si="1"/>
        <v>501673</v>
      </c>
      <c r="S40" s="99">
        <f>+R40-'[2]Reporte Area Engorde 2'!Q49-'[2]Reprod x Lote'!S43</f>
        <v>0</v>
      </c>
    </row>
    <row r="41" spans="1:20" x14ac:dyDescent="0.25">
      <c r="A41">
        <v>12</v>
      </c>
      <c r="B41" s="120">
        <f>+[3]Datos!B52</f>
        <v>0.3</v>
      </c>
      <c r="C41" s="5">
        <f>+[3]Datos!C52</f>
        <v>0.7</v>
      </c>
      <c r="D41" s="99">
        <v>58462</v>
      </c>
      <c r="E41" s="99">
        <v>1103281</v>
      </c>
      <c r="F41" s="99">
        <v>582482</v>
      </c>
      <c r="G41" s="99">
        <v>1456446</v>
      </c>
      <c r="H41" s="99">
        <v>1279253</v>
      </c>
      <c r="I41" s="99">
        <v>2917674</v>
      </c>
      <c r="J41" s="99">
        <v>7660202</v>
      </c>
      <c r="K41" s="99">
        <v>4401658</v>
      </c>
      <c r="L41" s="110">
        <v>1917427</v>
      </c>
      <c r="M41" s="110">
        <v>3279914</v>
      </c>
      <c r="N41" s="110">
        <v>2868208</v>
      </c>
      <c r="O41" s="110"/>
      <c r="P41" s="110"/>
      <c r="Q41" s="110"/>
      <c r="R41" s="122">
        <f t="shared" si="1"/>
        <v>27525007</v>
      </c>
      <c r="S41" s="99">
        <f>+R41-'[2]Reporte Area Engorde 2'!Q50-'[2]Reprod x Lote'!S44</f>
        <v>0</v>
      </c>
    </row>
    <row r="42" spans="1:20" x14ac:dyDescent="0.25">
      <c r="A42">
        <v>13</v>
      </c>
      <c r="B42" s="120">
        <v>0.5</v>
      </c>
      <c r="C42" s="5">
        <v>0.5</v>
      </c>
      <c r="D42" s="99"/>
      <c r="E42" s="99">
        <v>92887</v>
      </c>
      <c r="F42" s="99">
        <v>8401</v>
      </c>
      <c r="G42" s="99">
        <v>131360</v>
      </c>
      <c r="H42" s="99">
        <v>21004</v>
      </c>
      <c r="I42" s="99">
        <v>514675</v>
      </c>
      <c r="J42" s="99">
        <v>70838</v>
      </c>
      <c r="K42" s="99">
        <v>394590</v>
      </c>
      <c r="L42" s="110">
        <v>135930</v>
      </c>
      <c r="M42" s="110"/>
      <c r="N42" s="110">
        <v>2120</v>
      </c>
      <c r="O42" s="110"/>
      <c r="P42" s="110"/>
      <c r="Q42" s="110"/>
      <c r="R42" s="122">
        <f t="shared" si="1"/>
        <v>1371805</v>
      </c>
      <c r="S42" s="99">
        <f>+R42-'[2]Reporte Area Engorde 2'!Q51-'[2]Reprod x Lote'!S45</f>
        <v>0</v>
      </c>
    </row>
    <row r="43" spans="1:20" x14ac:dyDescent="0.25">
      <c r="A43">
        <v>14</v>
      </c>
      <c r="B43" s="120">
        <v>0.3</v>
      </c>
      <c r="C43" s="5">
        <v>0.7</v>
      </c>
      <c r="D43" s="99"/>
      <c r="E43" s="99"/>
      <c r="F43" s="99">
        <v>29412</v>
      </c>
      <c r="G43" s="99"/>
      <c r="H43" s="99">
        <v>300000</v>
      </c>
      <c r="I43" s="99">
        <v>548387</v>
      </c>
      <c r="J43" s="99">
        <v>33614</v>
      </c>
      <c r="K43" s="99">
        <v>358890</v>
      </c>
      <c r="L43" s="110">
        <v>538890</v>
      </c>
      <c r="M43" s="110">
        <v>2605000</v>
      </c>
      <c r="N43" s="110">
        <v>1623088</v>
      </c>
      <c r="O43" s="110"/>
      <c r="P43" s="110"/>
      <c r="Q43" s="110"/>
      <c r="R43" s="122">
        <f t="shared" si="1"/>
        <v>6037281</v>
      </c>
      <c r="S43" s="99">
        <f>+R43-'[2]Reporte Area Engorde 2'!Q52-'[2]Reprod x Lote'!S46</f>
        <v>0</v>
      </c>
    </row>
    <row r="44" spans="1:20" x14ac:dyDescent="0.25">
      <c r="A44">
        <v>15</v>
      </c>
      <c r="B44" s="120">
        <v>0.5</v>
      </c>
      <c r="C44" s="5">
        <v>0.5</v>
      </c>
      <c r="D44" s="99"/>
      <c r="E44" s="99"/>
      <c r="F44" s="99"/>
      <c r="G44" s="99">
        <v>350699</v>
      </c>
      <c r="H44" s="99">
        <v>176207</v>
      </c>
      <c r="I44" s="99">
        <v>176770</v>
      </c>
      <c r="J44" s="99">
        <v>176965</v>
      </c>
      <c r="K44" s="99">
        <v>176863</v>
      </c>
      <c r="L44" s="110">
        <v>176863</v>
      </c>
      <c r="M44" s="110">
        <v>176709</v>
      </c>
      <c r="N44" s="110">
        <v>176709</v>
      </c>
      <c r="O44" s="110"/>
      <c r="P44" s="110"/>
      <c r="Q44" s="110"/>
      <c r="R44" s="122">
        <f t="shared" si="1"/>
        <v>1587785</v>
      </c>
      <c r="S44" s="99">
        <f>+R44-'[2]Reporte Area Engorde 2'!Q53-'[2]Reprod x Lote'!S47</f>
        <v>0</v>
      </c>
    </row>
    <row r="45" spans="1:20" x14ac:dyDescent="0.25">
      <c r="A45">
        <v>16</v>
      </c>
      <c r="B45" s="120">
        <v>0.5</v>
      </c>
      <c r="C45" s="5">
        <v>0.5</v>
      </c>
      <c r="D45" s="99">
        <f>555556/2</f>
        <v>277778</v>
      </c>
      <c r="E45" s="99">
        <v>277778</v>
      </c>
      <c r="F45" s="99">
        <v>277778</v>
      </c>
      <c r="G45" s="99">
        <v>336134</v>
      </c>
      <c r="H45" s="99">
        <v>336134</v>
      </c>
      <c r="I45" s="99">
        <v>336134</v>
      </c>
      <c r="J45" s="99">
        <v>2577030</v>
      </c>
      <c r="K45" s="99">
        <v>336134</v>
      </c>
      <c r="L45" s="113">
        <v>2557030</v>
      </c>
      <c r="M45" s="128">
        <v>336134</v>
      </c>
      <c r="N45" s="128">
        <v>336134</v>
      </c>
      <c r="O45" s="128"/>
      <c r="P45" s="128"/>
      <c r="Q45" s="128"/>
      <c r="R45" s="122">
        <f t="shared" si="1"/>
        <v>7984198</v>
      </c>
      <c r="S45" s="99">
        <f>+R45-'[2]Reporte Area Engorde 2'!Q54-'[2]Reprod x Lote'!S48</f>
        <v>0</v>
      </c>
      <c r="T45" s="101"/>
    </row>
    <row r="46" spans="1:20" x14ac:dyDescent="0.25">
      <c r="A46">
        <v>17</v>
      </c>
      <c r="B46" s="120">
        <v>0.5</v>
      </c>
      <c r="C46" s="5">
        <v>0.5</v>
      </c>
      <c r="D46" s="99"/>
      <c r="E46" s="99"/>
      <c r="F46" s="99">
        <v>82000</v>
      </c>
      <c r="G46" s="99">
        <v>82000</v>
      </c>
      <c r="H46" s="99">
        <v>82000</v>
      </c>
      <c r="I46" s="99">
        <v>82000</v>
      </c>
      <c r="J46" s="99">
        <v>82000</v>
      </c>
      <c r="K46" s="99">
        <v>82000</v>
      </c>
      <c r="L46" s="110">
        <v>82000</v>
      </c>
      <c r="M46" s="110">
        <v>82000</v>
      </c>
      <c r="N46" s="110">
        <v>82000</v>
      </c>
      <c r="O46" s="110"/>
      <c r="P46" s="110"/>
      <c r="Q46" s="110"/>
      <c r="R46" s="122">
        <f t="shared" si="1"/>
        <v>738000</v>
      </c>
      <c r="S46" s="99">
        <f>+R46-'[2]Reporte Area Engorde 2'!Q55-'[2]Reprod x Lote'!S49</f>
        <v>0</v>
      </c>
    </row>
    <row r="47" spans="1:20" x14ac:dyDescent="0.25">
      <c r="A47">
        <v>18</v>
      </c>
      <c r="B47" s="120">
        <v>0.5</v>
      </c>
      <c r="C47" s="5">
        <v>0.5</v>
      </c>
      <c r="D47" s="99">
        <v>0</v>
      </c>
      <c r="E47" s="99">
        <v>0</v>
      </c>
      <c r="F47" s="99">
        <v>0</v>
      </c>
      <c r="G47" s="99">
        <v>0</v>
      </c>
      <c r="H47" s="99">
        <v>0</v>
      </c>
      <c r="I47" s="99">
        <v>0</v>
      </c>
      <c r="J47" s="99">
        <v>0</v>
      </c>
      <c r="K47" s="99">
        <v>92047</v>
      </c>
      <c r="L47" s="110">
        <v>0</v>
      </c>
      <c r="M47" s="110">
        <v>0</v>
      </c>
      <c r="N47" s="110">
        <v>0</v>
      </c>
      <c r="O47" s="110"/>
      <c r="P47" s="110"/>
      <c r="Q47" s="110"/>
      <c r="R47" s="122">
        <f t="shared" si="1"/>
        <v>92047</v>
      </c>
      <c r="S47" s="99">
        <f>+R47-'[2]Reporte Area Engorde 2'!Q56-'[2]Reprod x Lote'!S50</f>
        <v>0</v>
      </c>
    </row>
    <row r="48" spans="1:20" x14ac:dyDescent="0.25">
      <c r="A48">
        <v>19</v>
      </c>
      <c r="B48" s="120">
        <v>1</v>
      </c>
      <c r="C48" s="5">
        <v>0</v>
      </c>
      <c r="D48">
        <v>0</v>
      </c>
      <c r="E48" s="99">
        <v>0</v>
      </c>
      <c r="F48" s="99">
        <v>0</v>
      </c>
      <c r="G48" s="99">
        <v>0</v>
      </c>
      <c r="H48" s="99">
        <v>0</v>
      </c>
      <c r="I48" s="99">
        <v>0</v>
      </c>
      <c r="J48" s="99">
        <v>0</v>
      </c>
      <c r="K48" s="99">
        <v>0</v>
      </c>
      <c r="L48" s="110">
        <v>0</v>
      </c>
      <c r="M48" s="110">
        <v>175560</v>
      </c>
      <c r="N48" s="110">
        <v>0</v>
      </c>
      <c r="O48" s="110"/>
      <c r="P48" s="110"/>
      <c r="Q48" s="110"/>
      <c r="R48" s="122">
        <f t="shared" si="1"/>
        <v>175560</v>
      </c>
      <c r="S48" s="99">
        <f>+R48-'[2]Reporte Area Engorde 2'!Q57-'[2]Reprod x Lote'!S51</f>
        <v>0</v>
      </c>
    </row>
    <row r="49" spans="1:19" x14ac:dyDescent="0.25">
      <c r="A49">
        <v>20</v>
      </c>
      <c r="B49" s="120">
        <v>0.5</v>
      </c>
      <c r="C49" s="5">
        <v>0.5</v>
      </c>
      <c r="D49" s="99">
        <v>416666</v>
      </c>
      <c r="E49" s="99">
        <v>0</v>
      </c>
      <c r="F49" s="99">
        <v>0</v>
      </c>
      <c r="G49" s="99">
        <v>0</v>
      </c>
      <c r="H49" s="129">
        <v>455574</v>
      </c>
      <c r="I49" s="129">
        <v>455574</v>
      </c>
      <c r="J49" s="129">
        <v>455574</v>
      </c>
      <c r="K49" s="129">
        <v>2562018</v>
      </c>
      <c r="L49" s="130">
        <v>1576022</v>
      </c>
      <c r="M49" s="130">
        <v>687079</v>
      </c>
      <c r="N49" s="130">
        <v>455574</v>
      </c>
      <c r="O49" s="110"/>
      <c r="P49" s="110"/>
      <c r="Q49" s="110"/>
      <c r="R49" s="122">
        <f>SUM(D49:N49)</f>
        <v>7064081</v>
      </c>
      <c r="S49" s="99">
        <f>+R49-'[2]Reporte Area Engorde 2'!Q58-'[2]Reprod x Lote'!S52</f>
        <v>0</v>
      </c>
    </row>
    <row r="50" spans="1:19" x14ac:dyDescent="0.25">
      <c r="A50">
        <v>21</v>
      </c>
      <c r="B50" s="120">
        <v>0.5</v>
      </c>
      <c r="C50" s="5">
        <v>0.5</v>
      </c>
      <c r="D50" s="99">
        <v>0</v>
      </c>
      <c r="E50" s="99">
        <v>0</v>
      </c>
      <c r="F50" s="99">
        <v>277778</v>
      </c>
      <c r="G50" s="99">
        <v>0</v>
      </c>
      <c r="H50" s="129">
        <v>0</v>
      </c>
      <c r="I50" s="129">
        <v>0</v>
      </c>
      <c r="J50" s="129">
        <v>0</v>
      </c>
      <c r="K50" s="129">
        <v>0</v>
      </c>
      <c r="L50" s="130">
        <v>0</v>
      </c>
      <c r="M50" s="130">
        <v>0</v>
      </c>
      <c r="N50" s="130">
        <v>0</v>
      </c>
      <c r="O50" s="110"/>
      <c r="P50" s="110"/>
      <c r="Q50" s="110"/>
      <c r="R50" s="122">
        <f t="shared" si="1"/>
        <v>277778</v>
      </c>
      <c r="S50" s="99">
        <f>+R50-'[2]Reporte Area Engorde 2'!Q59-'[2]Reprod x Lote'!S53</f>
        <v>0</v>
      </c>
    </row>
    <row r="51" spans="1:19" x14ac:dyDescent="0.25">
      <c r="A51">
        <v>22</v>
      </c>
      <c r="B51" s="120">
        <v>0.5</v>
      </c>
      <c r="C51" s="5">
        <v>0.5</v>
      </c>
      <c r="D51" s="99">
        <v>0</v>
      </c>
      <c r="E51" s="99">
        <v>13010</v>
      </c>
      <c r="F51" s="99">
        <v>2250</v>
      </c>
      <c r="G51" s="99">
        <v>3500</v>
      </c>
      <c r="H51" s="129">
        <v>12966</v>
      </c>
      <c r="I51" s="129">
        <v>23075</v>
      </c>
      <c r="J51" s="129">
        <v>4496</v>
      </c>
      <c r="K51" s="129">
        <v>14937</v>
      </c>
      <c r="L51" s="130">
        <v>0</v>
      </c>
      <c r="M51" s="130">
        <v>4866</v>
      </c>
      <c r="N51" s="130">
        <v>0</v>
      </c>
      <c r="O51" s="110"/>
      <c r="P51" s="110"/>
      <c r="Q51" s="110"/>
      <c r="R51" s="122">
        <f t="shared" si="1"/>
        <v>79100</v>
      </c>
      <c r="S51" s="99">
        <f>+R51-'[2]Reporte Area Engorde 2'!Q60-'[2]Reprod x Lote'!S54</f>
        <v>0</v>
      </c>
    </row>
    <row r="52" spans="1:19" x14ac:dyDescent="0.25">
      <c r="A52">
        <v>23</v>
      </c>
      <c r="B52" s="120">
        <v>0.5</v>
      </c>
      <c r="C52" s="5">
        <v>0.5</v>
      </c>
      <c r="D52" s="99">
        <v>8595</v>
      </c>
      <c r="E52" s="99">
        <v>415397</v>
      </c>
      <c r="F52" s="99">
        <v>213781</v>
      </c>
      <c r="G52" s="99">
        <v>415831</v>
      </c>
      <c r="H52" s="129">
        <v>375320</v>
      </c>
      <c r="I52" s="129">
        <v>297700</v>
      </c>
      <c r="J52" s="129">
        <v>269066</v>
      </c>
      <c r="K52" s="129">
        <v>225876</v>
      </c>
      <c r="L52" s="130">
        <v>428249</v>
      </c>
      <c r="M52" s="130">
        <v>338947</v>
      </c>
      <c r="N52" s="130">
        <v>385887</v>
      </c>
      <c r="O52" s="110"/>
      <c r="P52" s="110"/>
      <c r="Q52" s="110"/>
      <c r="R52" s="122">
        <f t="shared" si="1"/>
        <v>3374649</v>
      </c>
      <c r="S52" s="99">
        <f>+R52-'[2]Reporte Area Engorde 2'!Q61-'[2]Reprod x Lote'!S55</f>
        <v>0</v>
      </c>
    </row>
    <row r="53" spans="1:19" x14ac:dyDescent="0.25">
      <c r="A53">
        <v>24</v>
      </c>
      <c r="B53" s="120">
        <v>0.5</v>
      </c>
      <c r="C53" s="5">
        <v>0.5</v>
      </c>
      <c r="D53" s="99">
        <v>0</v>
      </c>
      <c r="E53" s="99">
        <v>36296</v>
      </c>
      <c r="F53" s="99">
        <v>5500</v>
      </c>
      <c r="G53" s="99">
        <v>130706</v>
      </c>
      <c r="H53" s="129">
        <v>0</v>
      </c>
      <c r="I53" s="129">
        <v>6370</v>
      </c>
      <c r="J53" s="129">
        <v>0</v>
      </c>
      <c r="K53" s="129">
        <v>0</v>
      </c>
      <c r="L53" s="130">
        <v>14411</v>
      </c>
      <c r="M53" s="130">
        <v>0</v>
      </c>
      <c r="N53" s="130">
        <v>0</v>
      </c>
      <c r="O53" s="110"/>
      <c r="P53" s="110"/>
      <c r="Q53" s="110"/>
      <c r="R53" s="122">
        <f t="shared" si="1"/>
        <v>193283</v>
      </c>
      <c r="S53" s="99">
        <f>+R53-'[2]Reporte Area Engorde 2'!Q62-'[2]Reprod x Lote'!S56</f>
        <v>0</v>
      </c>
    </row>
    <row r="54" spans="1:19" x14ac:dyDescent="0.25">
      <c r="A54">
        <v>25</v>
      </c>
      <c r="B54" s="120">
        <v>0.5</v>
      </c>
      <c r="C54" s="5">
        <v>0.5</v>
      </c>
      <c r="D54" s="99">
        <v>0</v>
      </c>
      <c r="E54" s="99">
        <v>0</v>
      </c>
      <c r="F54" s="99">
        <v>0</v>
      </c>
      <c r="G54" s="99">
        <v>2700</v>
      </c>
      <c r="H54" s="129">
        <v>0</v>
      </c>
      <c r="I54" s="129">
        <v>0</v>
      </c>
      <c r="J54" s="129">
        <v>0</v>
      </c>
      <c r="K54" s="129">
        <v>0</v>
      </c>
      <c r="L54" s="130">
        <v>0</v>
      </c>
      <c r="M54" s="130">
        <v>0</v>
      </c>
      <c r="N54" s="130">
        <v>0</v>
      </c>
      <c r="O54" s="110"/>
      <c r="P54" s="110"/>
      <c r="Q54" s="110"/>
      <c r="R54" s="122">
        <f t="shared" si="1"/>
        <v>2700</v>
      </c>
      <c r="S54" s="99">
        <f>+R54-'[2]Reporte Area Engorde 2'!Q63-'[2]Reprod x Lote'!S57</f>
        <v>0</v>
      </c>
    </row>
    <row r="55" spans="1:19" x14ac:dyDescent="0.25">
      <c r="A55">
        <v>26</v>
      </c>
      <c r="B55" s="120">
        <v>0.5</v>
      </c>
      <c r="C55" s="5">
        <v>0.5</v>
      </c>
      <c r="D55" s="99">
        <v>0</v>
      </c>
      <c r="E55" s="99">
        <v>0</v>
      </c>
      <c r="F55" s="99">
        <v>0</v>
      </c>
      <c r="G55" s="99">
        <v>10450</v>
      </c>
      <c r="H55" s="129">
        <v>0</v>
      </c>
      <c r="I55" s="129">
        <v>0</v>
      </c>
      <c r="J55" s="129">
        <v>0</v>
      </c>
      <c r="K55" s="129">
        <v>0</v>
      </c>
      <c r="L55" s="130">
        <v>46261</v>
      </c>
      <c r="M55" s="130">
        <v>0</v>
      </c>
      <c r="N55" s="130">
        <v>0</v>
      </c>
      <c r="O55" s="110"/>
      <c r="P55" s="110"/>
      <c r="Q55" s="110"/>
      <c r="R55" s="122">
        <f t="shared" si="1"/>
        <v>56711</v>
      </c>
      <c r="S55" s="99">
        <f>+R55-'[2]Reporte Area Engorde 2'!Q64-'[2]Reprod x Lote'!S58</f>
        <v>0</v>
      </c>
    </row>
    <row r="56" spans="1:19" x14ac:dyDescent="0.25">
      <c r="A56">
        <v>27</v>
      </c>
      <c r="B56" s="120">
        <v>0.5</v>
      </c>
      <c r="C56" s="5">
        <v>0.5</v>
      </c>
      <c r="D56" s="99">
        <v>0</v>
      </c>
      <c r="E56" s="99">
        <v>0</v>
      </c>
      <c r="F56" s="99">
        <v>0</v>
      </c>
      <c r="G56" s="99">
        <v>0</v>
      </c>
      <c r="H56" s="129">
        <v>0</v>
      </c>
      <c r="I56" s="129">
        <v>38319</v>
      </c>
      <c r="J56" s="129">
        <v>0</v>
      </c>
      <c r="K56" s="129">
        <v>0</v>
      </c>
      <c r="L56" s="130">
        <v>0</v>
      </c>
      <c r="M56" s="130">
        <v>0</v>
      </c>
      <c r="N56" s="130">
        <v>0</v>
      </c>
      <c r="O56" s="110"/>
      <c r="P56" s="110"/>
      <c r="Q56" s="110"/>
      <c r="R56" s="122">
        <f t="shared" si="1"/>
        <v>38319</v>
      </c>
      <c r="S56" s="99">
        <f>+R56-'[2]Reporte Area Engorde 2'!Q65-'[2]Reprod x Lote'!S59</f>
        <v>0</v>
      </c>
    </row>
    <row r="57" spans="1:19" x14ac:dyDescent="0.25">
      <c r="A57">
        <v>28</v>
      </c>
      <c r="B57" s="120">
        <v>0.5</v>
      </c>
      <c r="C57" s="5">
        <v>0.5</v>
      </c>
      <c r="D57" s="99">
        <v>0</v>
      </c>
      <c r="E57" s="99">
        <v>0</v>
      </c>
      <c r="F57" s="99">
        <v>0</v>
      </c>
      <c r="G57" s="99">
        <v>0</v>
      </c>
      <c r="H57" s="129">
        <v>19319</v>
      </c>
      <c r="I57" s="129">
        <v>0</v>
      </c>
      <c r="J57" s="129">
        <v>0</v>
      </c>
      <c r="K57" s="129">
        <v>26033</v>
      </c>
      <c r="L57" s="130">
        <v>0</v>
      </c>
      <c r="M57" s="130">
        <v>97713</v>
      </c>
      <c r="N57" s="130">
        <v>0</v>
      </c>
      <c r="O57" s="110"/>
      <c r="P57" s="110"/>
      <c r="Q57" s="110"/>
      <c r="R57" s="122">
        <f t="shared" si="1"/>
        <v>143065</v>
      </c>
      <c r="S57" s="99">
        <f>+R57-'[2]Reporte Area Engorde 2'!Q66-'[2]Reprod x Lote'!S60</f>
        <v>0</v>
      </c>
    </row>
    <row r="58" spans="1:19" x14ac:dyDescent="0.25">
      <c r="A58">
        <v>29</v>
      </c>
      <c r="B58" s="120">
        <v>0.5</v>
      </c>
      <c r="C58" s="5">
        <v>0.5</v>
      </c>
      <c r="D58" s="99">
        <v>0</v>
      </c>
      <c r="E58" s="99">
        <v>0</v>
      </c>
      <c r="F58" s="99">
        <v>0</v>
      </c>
      <c r="G58" s="99">
        <v>0</v>
      </c>
      <c r="H58" s="129">
        <v>0</v>
      </c>
      <c r="I58" s="129">
        <v>76033</v>
      </c>
      <c r="J58" s="129">
        <v>5042</v>
      </c>
      <c r="K58" s="129">
        <v>0</v>
      </c>
      <c r="L58" s="130">
        <v>803174</v>
      </c>
      <c r="M58" s="130">
        <v>125357</v>
      </c>
      <c r="N58" s="131">
        <v>449203</v>
      </c>
      <c r="O58" s="110"/>
      <c r="P58" s="110"/>
      <c r="Q58" s="110"/>
      <c r="R58" s="122">
        <f t="shared" si="1"/>
        <v>1458809</v>
      </c>
      <c r="S58" s="99">
        <f>+R58-'[2]Reporte Area Engorde 2'!Q67-'[2]Reprod x Lote'!S61</f>
        <v>0</v>
      </c>
    </row>
    <row r="59" spans="1:19" x14ac:dyDescent="0.25">
      <c r="A59">
        <v>30</v>
      </c>
      <c r="B59" s="120">
        <v>0.5</v>
      </c>
      <c r="C59" s="5">
        <v>0.5</v>
      </c>
      <c r="D59" s="99">
        <v>0</v>
      </c>
      <c r="E59" s="99">
        <v>0</v>
      </c>
      <c r="F59" s="99">
        <v>0</v>
      </c>
      <c r="G59" s="99">
        <v>0</v>
      </c>
      <c r="H59" s="129">
        <v>0</v>
      </c>
      <c r="I59" s="129">
        <v>0</v>
      </c>
      <c r="J59" s="129">
        <v>0</v>
      </c>
      <c r="K59" s="129">
        <v>0</v>
      </c>
      <c r="L59" s="130">
        <v>7500</v>
      </c>
      <c r="M59" s="130">
        <v>0</v>
      </c>
      <c r="N59" s="130">
        <v>20000</v>
      </c>
      <c r="O59" s="110"/>
      <c r="P59" s="110"/>
      <c r="Q59" s="110"/>
      <c r="R59" s="122">
        <f t="shared" si="1"/>
        <v>27500</v>
      </c>
      <c r="S59" s="99">
        <f>+R59-'[2]Reporte Area Engorde 2'!Q68-'[2]Reprod x Lote'!S62</f>
        <v>0</v>
      </c>
    </row>
    <row r="60" spans="1:19" x14ac:dyDescent="0.25">
      <c r="A60">
        <v>31</v>
      </c>
      <c r="B60" s="120">
        <v>0.5</v>
      </c>
      <c r="C60" s="5">
        <v>0.5</v>
      </c>
      <c r="D60" s="99">
        <v>0</v>
      </c>
      <c r="E60" s="99">
        <v>0</v>
      </c>
      <c r="F60" s="99">
        <v>0</v>
      </c>
      <c r="G60" s="99">
        <v>0</v>
      </c>
      <c r="H60" s="129">
        <v>0</v>
      </c>
      <c r="I60" s="129">
        <v>0</v>
      </c>
      <c r="J60" s="129">
        <v>0</v>
      </c>
      <c r="K60" s="129">
        <v>11181</v>
      </c>
      <c r="L60" s="130">
        <v>0</v>
      </c>
      <c r="M60" s="130">
        <v>7220</v>
      </c>
      <c r="N60" s="130">
        <v>0</v>
      </c>
      <c r="O60" s="110"/>
      <c r="P60" s="110"/>
      <c r="Q60" s="110"/>
      <c r="R60" s="122">
        <f t="shared" si="1"/>
        <v>18401</v>
      </c>
      <c r="S60" s="99">
        <f>+R60-'[2]Reporte Area Engorde 2'!Q69-'[2]Reprod x Lote'!S63</f>
        <v>0</v>
      </c>
    </row>
    <row r="61" spans="1:19" x14ac:dyDescent="0.25">
      <c r="A61">
        <v>32</v>
      </c>
      <c r="B61" s="120">
        <v>0.5</v>
      </c>
      <c r="C61" s="5">
        <v>0.5</v>
      </c>
      <c r="D61" s="99">
        <v>0</v>
      </c>
      <c r="E61" s="99">
        <v>1320720</v>
      </c>
      <c r="F61" s="99">
        <v>82613</v>
      </c>
      <c r="G61" s="99">
        <v>41145</v>
      </c>
      <c r="H61" s="129">
        <v>37850</v>
      </c>
      <c r="I61" s="129">
        <v>28000</v>
      </c>
      <c r="J61" s="129">
        <v>20500</v>
      </c>
      <c r="K61" s="129">
        <v>0</v>
      </c>
      <c r="L61" s="130">
        <v>51980</v>
      </c>
      <c r="M61" s="130">
        <v>30000</v>
      </c>
      <c r="N61" s="130">
        <v>0</v>
      </c>
      <c r="O61" s="110"/>
      <c r="P61" s="110"/>
      <c r="Q61" s="110"/>
      <c r="R61" s="122">
        <f t="shared" si="1"/>
        <v>1612808</v>
      </c>
      <c r="S61" s="99">
        <f>+R61-'[2]Reporte Area Engorde 2'!Q70-'[2]Reprod x Lote'!S64</f>
        <v>0</v>
      </c>
    </row>
    <row r="62" spans="1:19" x14ac:dyDescent="0.25">
      <c r="A62">
        <v>33</v>
      </c>
      <c r="B62" s="120">
        <v>0.5</v>
      </c>
      <c r="C62" s="5">
        <v>0.5</v>
      </c>
      <c r="D62" s="99">
        <v>0</v>
      </c>
      <c r="E62" s="99">
        <v>30000</v>
      </c>
      <c r="F62" s="99">
        <v>21008</v>
      </c>
      <c r="G62" s="99">
        <v>0</v>
      </c>
      <c r="H62" s="129">
        <v>72807</v>
      </c>
      <c r="I62" s="129">
        <v>0</v>
      </c>
      <c r="J62" s="129">
        <v>0</v>
      </c>
      <c r="K62" s="129">
        <v>0</v>
      </c>
      <c r="L62" s="130">
        <v>58017</v>
      </c>
      <c r="M62" s="130">
        <v>32000</v>
      </c>
      <c r="N62" s="130">
        <v>0</v>
      </c>
      <c r="O62" s="110"/>
      <c r="P62" s="110"/>
      <c r="Q62" s="110"/>
      <c r="R62" s="122">
        <f t="shared" si="1"/>
        <v>213832</v>
      </c>
      <c r="S62" s="99">
        <f>+R62-'[2]Reporte Area Engorde 2'!Q71-'[2]Reprod x Lote'!S65</f>
        <v>0</v>
      </c>
    </row>
    <row r="63" spans="1:19" x14ac:dyDescent="0.25">
      <c r="A63">
        <v>34</v>
      </c>
      <c r="B63" s="120">
        <v>0.5</v>
      </c>
      <c r="C63" s="5">
        <v>0.5</v>
      </c>
      <c r="D63" s="99">
        <v>0</v>
      </c>
      <c r="E63" s="99">
        <v>65731</v>
      </c>
      <c r="F63" s="99">
        <v>28520</v>
      </c>
      <c r="G63" s="99">
        <v>88356</v>
      </c>
      <c r="H63" s="129">
        <v>62555</v>
      </c>
      <c r="I63" s="129">
        <v>53742</v>
      </c>
      <c r="J63" s="129">
        <v>60326</v>
      </c>
      <c r="K63" s="129">
        <v>40560</v>
      </c>
      <c r="L63" s="130">
        <v>154802</v>
      </c>
      <c r="M63" s="130">
        <v>185907</v>
      </c>
      <c r="N63" s="130">
        <v>77133</v>
      </c>
      <c r="O63" s="110"/>
      <c r="P63" s="110"/>
      <c r="Q63" s="110"/>
      <c r="R63" s="122">
        <f t="shared" si="1"/>
        <v>817632</v>
      </c>
      <c r="S63" s="99">
        <f>+R63-'[2]Reporte Area Engorde 2'!Q72-'[2]Reprod x Lote'!S66</f>
        <v>0</v>
      </c>
    </row>
    <row r="64" spans="1:19" x14ac:dyDescent="0.25">
      <c r="A64">
        <v>35</v>
      </c>
      <c r="B64" s="120">
        <v>0.5</v>
      </c>
      <c r="C64" s="5">
        <v>0.5</v>
      </c>
      <c r="D64" s="99">
        <v>0</v>
      </c>
      <c r="E64" s="99">
        <v>43230</v>
      </c>
      <c r="F64" s="99">
        <v>0</v>
      </c>
      <c r="G64" s="99">
        <v>0</v>
      </c>
      <c r="H64" s="129">
        <v>9180</v>
      </c>
      <c r="I64" s="129">
        <v>0</v>
      </c>
      <c r="J64" s="129">
        <v>0</v>
      </c>
      <c r="K64" s="129">
        <v>0</v>
      </c>
      <c r="L64" s="130">
        <v>0</v>
      </c>
      <c r="M64" s="130">
        <v>0</v>
      </c>
      <c r="N64" s="130">
        <v>2800</v>
      </c>
      <c r="O64" s="110"/>
      <c r="P64" s="110"/>
      <c r="Q64" s="110"/>
      <c r="R64" s="122">
        <f t="shared" si="1"/>
        <v>55210</v>
      </c>
      <c r="S64" s="99">
        <f>+R64-'[2]Reporte Area Engorde 2'!Q73-'[2]Reprod x Lote'!S67</f>
        <v>0</v>
      </c>
    </row>
    <row r="65" spans="1:21" x14ac:dyDescent="0.25">
      <c r="A65">
        <v>36</v>
      </c>
      <c r="B65" s="120">
        <v>0.5</v>
      </c>
      <c r="C65" s="5">
        <v>0.5</v>
      </c>
      <c r="D65" s="99">
        <v>0</v>
      </c>
      <c r="E65" s="99">
        <v>47950</v>
      </c>
      <c r="F65" s="99">
        <v>40340</v>
      </c>
      <c r="G65" s="99">
        <v>58050</v>
      </c>
      <c r="H65" s="129">
        <v>37500</v>
      </c>
      <c r="I65" s="129">
        <v>64460</v>
      </c>
      <c r="J65" s="129">
        <v>51250</v>
      </c>
      <c r="K65" s="129">
        <v>42350</v>
      </c>
      <c r="L65" s="130">
        <v>71800</v>
      </c>
      <c r="M65" s="130">
        <v>59140</v>
      </c>
      <c r="N65" s="130">
        <v>116700</v>
      </c>
      <c r="O65" s="110"/>
      <c r="P65" s="110"/>
      <c r="Q65" s="110"/>
      <c r="R65" s="122">
        <f t="shared" si="1"/>
        <v>589540</v>
      </c>
      <c r="S65" s="99">
        <f>+R65-'[2]Reporte Area Engorde 2'!Q74-'[2]Reprod x Lote'!S68</f>
        <v>0</v>
      </c>
    </row>
    <row r="66" spans="1:21" x14ac:dyDescent="0.25">
      <c r="A66">
        <v>37</v>
      </c>
      <c r="B66" s="120">
        <v>0.5</v>
      </c>
      <c r="C66" s="5">
        <v>0.5</v>
      </c>
      <c r="D66" s="99">
        <v>0</v>
      </c>
      <c r="E66" s="99">
        <v>11067</v>
      </c>
      <c r="F66" s="99">
        <v>0</v>
      </c>
      <c r="G66" s="99">
        <v>0</v>
      </c>
      <c r="H66" s="129">
        <v>0</v>
      </c>
      <c r="I66" s="129">
        <v>0</v>
      </c>
      <c r="J66" s="129">
        <v>0</v>
      </c>
      <c r="K66" s="129">
        <v>0</v>
      </c>
      <c r="L66" s="130">
        <v>0</v>
      </c>
      <c r="M66" s="130">
        <v>0</v>
      </c>
      <c r="N66" s="130">
        <v>0</v>
      </c>
      <c r="O66" s="110"/>
      <c r="P66" s="110"/>
      <c r="Q66" s="110"/>
      <c r="R66" s="122">
        <f t="shared" si="1"/>
        <v>11067</v>
      </c>
      <c r="S66" s="99">
        <f>+R66-'[2]Reporte Area Engorde 2'!Q75-'[2]Reprod x Lote'!S69</f>
        <v>0</v>
      </c>
    </row>
    <row r="67" spans="1:21" x14ac:dyDescent="0.25">
      <c r="A67">
        <v>38</v>
      </c>
      <c r="B67" s="120">
        <v>0.5</v>
      </c>
      <c r="C67" s="5">
        <v>0.5</v>
      </c>
      <c r="D67" s="99">
        <v>0</v>
      </c>
      <c r="E67" s="99">
        <v>153113</v>
      </c>
      <c r="F67" s="99">
        <v>227537</v>
      </c>
      <c r="G67" s="99">
        <v>84165</v>
      </c>
      <c r="H67" s="129">
        <v>225581</v>
      </c>
      <c r="I67" s="129">
        <v>89325</v>
      </c>
      <c r="J67" s="129">
        <v>329324</v>
      </c>
      <c r="K67" s="129">
        <v>254485</v>
      </c>
      <c r="L67" s="130">
        <v>232270</v>
      </c>
      <c r="M67" s="130">
        <v>182515</v>
      </c>
      <c r="N67" s="130">
        <v>230657</v>
      </c>
      <c r="O67" s="110"/>
      <c r="P67" s="110"/>
      <c r="Q67" s="110"/>
      <c r="R67" s="122">
        <f t="shared" si="1"/>
        <v>2008972</v>
      </c>
      <c r="S67" s="99">
        <f>+R67-'[2]Reporte Area Engorde 2'!Q76-'[2]Reprod x Lote'!S70</f>
        <v>0</v>
      </c>
    </row>
    <row r="68" spans="1:21" s="3" customFormat="1" x14ac:dyDescent="0.25">
      <c r="A68" s="4" t="s">
        <v>20</v>
      </c>
      <c r="B68" s="4"/>
      <c r="C68" s="4"/>
      <c r="D68" s="118">
        <f t="shared" ref="D68:N68" si="2">SUM(D30:D67)</f>
        <v>3348782</v>
      </c>
      <c r="E68" s="118">
        <f t="shared" si="2"/>
        <v>8549693.5</v>
      </c>
      <c r="F68" s="118">
        <f t="shared" si="2"/>
        <v>10944105.5</v>
      </c>
      <c r="G68" s="118">
        <f t="shared" si="2"/>
        <v>8319256.5</v>
      </c>
      <c r="H68" s="118">
        <f t="shared" si="2"/>
        <v>9616358.5</v>
      </c>
      <c r="I68" s="118">
        <f t="shared" si="2"/>
        <v>11239559</v>
      </c>
      <c r="J68" s="118">
        <f t="shared" si="2"/>
        <v>17121483.5</v>
      </c>
      <c r="K68" s="118">
        <f t="shared" si="2"/>
        <v>16621164.5</v>
      </c>
      <c r="L68" s="118">
        <f t="shared" si="2"/>
        <v>16203924.940000001</v>
      </c>
      <c r="M68" s="118">
        <f t="shared" si="2"/>
        <v>14804962.449999999</v>
      </c>
      <c r="N68" s="118">
        <f t="shared" si="2"/>
        <v>13388800.35</v>
      </c>
      <c r="O68" s="118"/>
      <c r="P68" s="118"/>
      <c r="Q68" s="118"/>
      <c r="R68" s="119">
        <f>SUM(R30:R67)</f>
        <v>130158090.74000001</v>
      </c>
      <c r="S68" s="99"/>
      <c r="T68" s="132"/>
      <c r="U68" s="132"/>
    </row>
    <row r="69" spans="1:21" s="3" customFormat="1" x14ac:dyDescent="0.25">
      <c r="A69" s="4" t="s">
        <v>21</v>
      </c>
      <c r="B69" s="4"/>
      <c r="C69" s="4"/>
      <c r="D69" s="118">
        <f>+'[3]Costeo Polcura'!M91</f>
        <v>4464139.5</v>
      </c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9">
        <f>SUM(D69:L69)</f>
        <v>4464139.5</v>
      </c>
      <c r="S69" s="132"/>
    </row>
    <row r="70" spans="1:21" x14ac:dyDescent="0.25">
      <c r="A70" s="4" t="s">
        <v>22</v>
      </c>
      <c r="B70" s="4"/>
      <c r="C70" s="4"/>
      <c r="D70" s="133">
        <f t="shared" ref="D70:M70" si="3">+D68+D27+D69</f>
        <v>7812921.5</v>
      </c>
      <c r="E70" s="133">
        <f t="shared" si="3"/>
        <v>8549693.5</v>
      </c>
      <c r="F70" s="133">
        <f t="shared" si="3"/>
        <v>10944105.5</v>
      </c>
      <c r="G70" s="133">
        <f t="shared" si="3"/>
        <v>8319256.5</v>
      </c>
      <c r="H70" s="133">
        <f t="shared" si="3"/>
        <v>9616358.5</v>
      </c>
      <c r="I70" s="133">
        <f t="shared" si="3"/>
        <v>11239559</v>
      </c>
      <c r="J70" s="133">
        <f t="shared" si="3"/>
        <v>17121483.5</v>
      </c>
      <c r="K70" s="133">
        <f t="shared" si="3"/>
        <v>16621164.5</v>
      </c>
      <c r="L70" s="133">
        <f t="shared" si="3"/>
        <v>16203924.940000001</v>
      </c>
      <c r="M70" s="133">
        <f t="shared" si="3"/>
        <v>14804962.449999999</v>
      </c>
      <c r="N70" s="133">
        <f>+N68+N27</f>
        <v>13388800.35</v>
      </c>
      <c r="O70" s="133"/>
      <c r="P70" s="133"/>
      <c r="Q70" s="133"/>
      <c r="R70" s="134">
        <f>+R68+R27+R69</f>
        <v>134622230.24000001</v>
      </c>
    </row>
    <row r="71" spans="1:21" x14ac:dyDescent="0.25">
      <c r="A71" s="4" t="s">
        <v>23</v>
      </c>
      <c r="B71" s="4"/>
      <c r="C71" s="4"/>
      <c r="D71" s="133">
        <f>+D70</f>
        <v>7812921.5</v>
      </c>
      <c r="E71" s="133">
        <f>+D71+E70</f>
        <v>16362615</v>
      </c>
      <c r="F71" s="133">
        <f t="shared" ref="F71:K71" si="4">+E71+F70</f>
        <v>27306720.5</v>
      </c>
      <c r="G71" s="133">
        <f t="shared" si="4"/>
        <v>35625977</v>
      </c>
      <c r="H71" s="133">
        <f t="shared" si="4"/>
        <v>45242335.5</v>
      </c>
      <c r="I71" s="133">
        <f t="shared" si="4"/>
        <v>56481894.5</v>
      </c>
      <c r="J71" s="133">
        <f t="shared" si="4"/>
        <v>73603378</v>
      </c>
      <c r="K71" s="133">
        <f t="shared" si="4"/>
        <v>90224542.5</v>
      </c>
      <c r="L71" s="133">
        <f>+K71+L70</f>
        <v>106428467.44</v>
      </c>
      <c r="M71" s="133">
        <f>+L71+M70</f>
        <v>121233429.89</v>
      </c>
      <c r="N71" s="133">
        <f>+N70+M71</f>
        <v>134622230.24000001</v>
      </c>
      <c r="O71" s="133"/>
      <c r="P71" s="133"/>
      <c r="Q71" s="133"/>
      <c r="R71" s="134">
        <f>+N71-R70</f>
        <v>0</v>
      </c>
    </row>
  </sheetData>
  <mergeCells count="2">
    <mergeCell ref="A9:D9"/>
    <mergeCell ref="B28:C28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Datos</vt:lpstr>
      <vt:lpstr>Reporte </vt:lpstr>
      <vt:lpstr>Reporte AN</vt:lpstr>
      <vt:lpstr>cuentas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Diaz</dc:creator>
  <cp:lastModifiedBy>Juan Manuel Franco León</cp:lastModifiedBy>
  <dcterms:created xsi:type="dcterms:W3CDTF">2020-11-06T19:40:06Z</dcterms:created>
  <dcterms:modified xsi:type="dcterms:W3CDTF">2020-11-13T20:55:58Z</dcterms:modified>
</cp:coreProperties>
</file>